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3564e9fe4e7a3f/Desktop/Home Competition/DiCentra Competitions and images/2026 Season/8 August Flora/"/>
    </mc:Choice>
  </mc:AlternateContent>
  <xr:revisionPtr revIDLastSave="444" documentId="13_ncr:1_{8F789EA6-E5CC-42E9-A121-55A0D8C0EC3F}" xr6:coauthVersionLast="47" xr6:coauthVersionMax="47" xr10:uidLastSave="{7CAD7F33-573F-42E3-874E-525EBF527316}"/>
  <bookViews>
    <workbookView xWindow="-150" yWindow="0" windowWidth="25455" windowHeight="15135" xr2:uid="{D2B76C40-EA39-4FA6-B8DB-92EC145F02AC}"/>
  </bookViews>
  <sheets>
    <sheet name="Ranking" sheetId="14" r:id="rId1"/>
    <sheet name="January" sheetId="11" r:id="rId2"/>
    <sheet name="February" sheetId="10" r:id="rId3"/>
    <sheet name="March" sheetId="9" r:id="rId4"/>
    <sheet name="April" sheetId="8" r:id="rId5"/>
    <sheet name="May" sheetId="7" r:id="rId6"/>
    <sheet name="June" sheetId="6" r:id="rId7"/>
    <sheet name="July" sheetId="4" r:id="rId8"/>
    <sheet name="August" sheetId="3" r:id="rId9"/>
    <sheet name="September" sheetId="2" r:id="rId10"/>
    <sheet name="October" sheetId="15" r:id="rId11"/>
    <sheet name="November" sheetId="1" r:id="rId12"/>
    <sheet name="SheetTemplate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14" l="1"/>
  <c r="P6" i="14"/>
  <c r="P8" i="14"/>
  <c r="P10" i="14"/>
  <c r="P12" i="14"/>
  <c r="P14" i="14"/>
  <c r="P16" i="14"/>
  <c r="P18" i="14"/>
  <c r="P20" i="14"/>
  <c r="P22" i="14"/>
  <c r="P24" i="14"/>
  <c r="P26" i="14"/>
  <c r="P28" i="14"/>
  <c r="P30" i="14"/>
  <c r="P32" i="14"/>
  <c r="P34" i="14"/>
  <c r="P36" i="14"/>
  <c r="P38" i="14"/>
  <c r="P40" i="14"/>
  <c r="P42" i="14"/>
  <c r="P44" i="14"/>
  <c r="P46" i="14"/>
  <c r="Q3" i="14"/>
  <c r="J12" i="9" a="1"/>
  <c r="J12" i="9" s="1"/>
  <c r="J33" i="9" a="1"/>
  <c r="J33" i="9" s="1"/>
  <c r="Q45" i="14"/>
  <c r="R45" i="14" s="1"/>
  <c r="Q41" i="14"/>
  <c r="Q39" i="14"/>
  <c r="Q43" i="14"/>
  <c r="Q37" i="14"/>
  <c r="Q33" i="14"/>
  <c r="Q35" i="14"/>
  <c r="Q13" i="14"/>
  <c r="J33" i="15" a="1"/>
  <c r="J33" i="15" s="1"/>
  <c r="J12" i="15" a="1"/>
  <c r="J12" i="15" s="1"/>
  <c r="Q31" i="14"/>
  <c r="Q29" i="14"/>
  <c r="Q27" i="14"/>
  <c r="Q25" i="14"/>
  <c r="Q23" i="14"/>
  <c r="R35" i="14" l="1"/>
  <c r="R39" i="14"/>
  <c r="W27" i="14"/>
  <c r="W23" i="14"/>
  <c r="W7" i="14"/>
  <c r="W25" i="14"/>
  <c r="W29" i="14"/>
  <c r="W21" i="14"/>
  <c r="W31" i="14"/>
  <c r="W33" i="14"/>
  <c r="W35" i="14"/>
  <c r="W5" i="14"/>
  <c r="W37" i="14"/>
  <c r="W39" i="14"/>
  <c r="W9" i="14"/>
  <c r="W17" i="14"/>
  <c r="W41" i="14"/>
  <c r="W11" i="14"/>
  <c r="W19" i="14"/>
  <c r="W43" i="14"/>
  <c r="W15" i="14"/>
  <c r="R41" i="14"/>
  <c r="W3" i="14"/>
  <c r="W13" i="14"/>
  <c r="R31" i="14"/>
  <c r="R43" i="14"/>
  <c r="R27" i="14"/>
  <c r="R37" i="14"/>
  <c r="R33" i="14"/>
  <c r="R29" i="14"/>
  <c r="R23" i="14"/>
  <c r="R25" i="14"/>
  <c r="K33" i="15" a="1"/>
  <c r="K33" i="15" s="1"/>
  <c r="K12" i="15" a="1"/>
  <c r="K12" i="15" s="1"/>
  <c r="Q7" i="14" l="1"/>
  <c r="R7" i="14" s="1"/>
  <c r="Q5" i="14"/>
  <c r="R5" i="14" s="1"/>
  <c r="Q9" i="14"/>
  <c r="Q11" i="14"/>
  <c r="J33" i="12" a="1"/>
  <c r="J33" i="12" s="1"/>
  <c r="J12" i="12" a="1"/>
  <c r="J12" i="12" s="1"/>
  <c r="J33" i="11" a="1"/>
  <c r="J33" i="11" s="1"/>
  <c r="J12" i="11" a="1"/>
  <c r="J12" i="11" s="1"/>
  <c r="J33" i="10" a="1"/>
  <c r="J33" i="10" s="1"/>
  <c r="J12" i="10" a="1"/>
  <c r="J12" i="10" s="1"/>
  <c r="J33" i="8" a="1"/>
  <c r="J33" i="8" s="1"/>
  <c r="J12" i="8" a="1"/>
  <c r="J12" i="8" s="1"/>
  <c r="J33" i="7" a="1"/>
  <c r="J33" i="7" s="1"/>
  <c r="J12" i="7" a="1"/>
  <c r="J12" i="7" s="1"/>
  <c r="J33" i="6" a="1"/>
  <c r="J33" i="6" s="1"/>
  <c r="J12" i="6" a="1"/>
  <c r="J12" i="6" s="1"/>
  <c r="J33" i="4" a="1"/>
  <c r="J33" i="4" s="1"/>
  <c r="J12" i="4" a="1"/>
  <c r="J12" i="4" s="1"/>
  <c r="J33" i="3" a="1"/>
  <c r="J33" i="3" s="1"/>
  <c r="J12" i="3" a="1"/>
  <c r="J12" i="3" s="1"/>
  <c r="J33" i="2" a="1"/>
  <c r="J33" i="2" s="1"/>
  <c r="J12" i="2" a="1"/>
  <c r="J12" i="2" s="1"/>
  <c r="J33" i="1" a="1"/>
  <c r="J33" i="1" s="1"/>
  <c r="J12" i="1" a="1"/>
  <c r="R9" i="14" l="1"/>
  <c r="R11" i="14"/>
  <c r="Q17" i="14"/>
  <c r="R17" i="14" s="1"/>
  <c r="Q19" i="14"/>
  <c r="Q15" i="14"/>
  <c r="Q21" i="14"/>
  <c r="R3" i="14"/>
  <c r="J12" i="1"/>
  <c r="K12" i="1" a="1"/>
  <c r="K12" i="1" s="1"/>
  <c r="K12" i="12" a="1"/>
  <c r="K12" i="12" s="1"/>
  <c r="K33" i="12" a="1"/>
  <c r="K33" i="12" s="1"/>
  <c r="K12" i="11" a="1"/>
  <c r="K12" i="11" s="1"/>
  <c r="K33" i="11" a="1"/>
  <c r="K33" i="11" s="1"/>
  <c r="K12" i="10" a="1"/>
  <c r="K12" i="10" s="1"/>
  <c r="K33" i="10" a="1"/>
  <c r="K33" i="10" s="1"/>
  <c r="K12" i="9" a="1"/>
  <c r="K12" i="9" s="1"/>
  <c r="K33" i="9" a="1"/>
  <c r="K33" i="9" s="1"/>
  <c r="K12" i="8" a="1"/>
  <c r="K12" i="8" s="1"/>
  <c r="K33" i="8" a="1"/>
  <c r="K33" i="8" s="1"/>
  <c r="K12" i="7" a="1"/>
  <c r="K12" i="7" s="1"/>
  <c r="K33" i="7" a="1"/>
  <c r="K33" i="7" s="1"/>
  <c r="K12" i="6" a="1"/>
  <c r="K12" i="6" s="1"/>
  <c r="K33" i="6" a="1"/>
  <c r="K33" i="6" s="1"/>
  <c r="K12" i="4" a="1"/>
  <c r="K12" i="4" s="1"/>
  <c r="K33" i="4" a="1"/>
  <c r="K33" i="4" s="1"/>
  <c r="K33" i="3" a="1"/>
  <c r="K33" i="3" s="1"/>
  <c r="K12" i="3" a="1"/>
  <c r="K12" i="3" s="1"/>
  <c r="K12" i="2" a="1"/>
  <c r="K12" i="2" s="1"/>
  <c r="K33" i="2" a="1"/>
  <c r="K33" i="2" s="1"/>
  <c r="K33" i="1" a="1"/>
  <c r="K33" i="1" s="1"/>
  <c r="R15" i="14" l="1"/>
  <c r="V9" i="14"/>
  <c r="R21" i="14"/>
  <c r="V33" i="14"/>
  <c r="V7" i="14"/>
  <c r="V23" i="14"/>
  <c r="V39" i="14"/>
  <c r="V5" i="14"/>
  <c r="V17" i="14"/>
  <c r="V21" i="14"/>
  <c r="V29" i="14"/>
  <c r="R13" i="14"/>
  <c r="V19" i="14"/>
  <c r="V43" i="14"/>
  <c r="V27" i="14"/>
  <c r="R19" i="14"/>
  <c r="V13" i="14"/>
  <c r="V3" i="14"/>
  <c r="V11" i="14"/>
  <c r="V15" i="14"/>
  <c r="V41" i="14"/>
  <c r="V35" i="14"/>
  <c r="V37" i="14"/>
  <c r="V25" i="14"/>
  <c r="V31" i="14"/>
  <c r="U43" i="14" l="1"/>
  <c r="U41" i="14"/>
  <c r="U13" i="14"/>
  <c r="U31" i="14"/>
  <c r="U27" i="14"/>
  <c r="U33" i="14"/>
  <c r="U17" i="14"/>
  <c r="U5" i="14"/>
  <c r="U11" i="14"/>
  <c r="U9" i="14"/>
  <c r="U39" i="14"/>
  <c r="U21" i="14"/>
  <c r="U25" i="14"/>
  <c r="U19" i="14"/>
  <c r="U7" i="14"/>
  <c r="U23" i="14"/>
  <c r="U37" i="14"/>
  <c r="U35" i="14"/>
  <c r="U15" i="14"/>
  <c r="U3" i="14"/>
  <c r="U29" i="1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<sst xmlns="http://schemas.openxmlformats.org/spreadsheetml/2006/main" count="1189" uniqueCount="472">
  <si>
    <t>Month</t>
  </si>
  <si>
    <t>Competition Subject</t>
  </si>
  <si>
    <t>Date</t>
  </si>
  <si>
    <t>Judge</t>
  </si>
  <si>
    <t>Print Entries</t>
  </si>
  <si>
    <t>Dpi Entries</t>
  </si>
  <si>
    <t>Author</t>
  </si>
  <si>
    <t>Title</t>
  </si>
  <si>
    <t>Score</t>
  </si>
  <si>
    <t>Points</t>
  </si>
  <si>
    <t>Names</t>
  </si>
  <si>
    <t>Digital Entries</t>
  </si>
  <si>
    <t>mono</t>
  </si>
  <si>
    <t>january</t>
  </si>
  <si>
    <t>harry blobb</t>
  </si>
  <si>
    <t>November</t>
  </si>
  <si>
    <t>January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</si>
  <si>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</si>
  <si>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</si>
  <si>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</si>
  <si>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</si>
  <si>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</si>
  <si>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</si>
  <si>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</si>
  <si>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</si>
  <si>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</si>
  <si>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</si>
  <si>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</si>
  <si>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</si>
  <si>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Overall</t>
  </si>
  <si>
    <t>Overall
 Rankings</t>
  </si>
  <si>
    <t>Print</t>
  </si>
  <si>
    <t>Dpi</t>
  </si>
  <si>
    <t>Brian Steeper</t>
  </si>
  <si>
    <t>Chris Donne</t>
  </si>
  <si>
    <t>Dave Hepworth</t>
  </si>
  <si>
    <t>Gail Wrigg</t>
  </si>
  <si>
    <t>Keith Wressell</t>
  </si>
  <si>
    <t>Kev Richardson</t>
  </si>
  <si>
    <t>Les Hardwick Grey</t>
  </si>
  <si>
    <t>Martyn Wrigg</t>
  </si>
  <si>
    <t>Paula Major</t>
  </si>
  <si>
    <t>Richard Poustie</t>
  </si>
  <si>
    <t>Robert Musgrove</t>
  </si>
  <si>
    <t>Steve Blades</t>
  </si>
  <si>
    <t>Graham Kent</t>
  </si>
  <si>
    <t>Jayne Rushby</t>
  </si>
  <si>
    <t>Nawa Ahmednari</t>
  </si>
  <si>
    <t>Dave Smith</t>
  </si>
  <si>
    <t>Wildlife</t>
  </si>
  <si>
    <t>Graham Dunkin</t>
  </si>
  <si>
    <t>Feburary</t>
  </si>
  <si>
    <t>Cityscape</t>
  </si>
  <si>
    <t>Michael Lee</t>
  </si>
  <si>
    <t>March</t>
  </si>
  <si>
    <t>Black and White</t>
  </si>
  <si>
    <t>Mike Bennett</t>
  </si>
  <si>
    <t>April</t>
  </si>
  <si>
    <t>Open</t>
  </si>
  <si>
    <t>David Neve</t>
  </si>
  <si>
    <t>Macro and Close up</t>
  </si>
  <si>
    <t>Dane Butler</t>
  </si>
  <si>
    <t>June</t>
  </si>
  <si>
    <t>Landscape</t>
  </si>
  <si>
    <t>Tony Houlden</t>
  </si>
  <si>
    <t xml:space="preserve">July </t>
  </si>
  <si>
    <t>Movement</t>
  </si>
  <si>
    <t>Diane Seddon</t>
  </si>
  <si>
    <t>August</t>
  </si>
  <si>
    <t>Flora</t>
  </si>
  <si>
    <t>September</t>
  </si>
  <si>
    <t>October</t>
  </si>
  <si>
    <t>POTY</t>
  </si>
  <si>
    <t>Prtraits</t>
  </si>
  <si>
    <t>John Whaler</t>
  </si>
  <si>
    <t>Refection</t>
  </si>
  <si>
    <t>Steve, Blades</t>
  </si>
  <si>
    <t>Paula, Major</t>
  </si>
  <si>
    <t>Kev, Richardson</t>
  </si>
  <si>
    <t>Julie, Smith</t>
  </si>
  <si>
    <t>David, Smith</t>
  </si>
  <si>
    <t>Brian, Steeper</t>
  </si>
  <si>
    <t>Robert, Musgrove</t>
  </si>
  <si>
    <t>leave my boyfriend alone</t>
  </si>
  <si>
    <t>Gone Fishing</t>
  </si>
  <si>
    <t>Big Mouths to Feed</t>
  </si>
  <si>
    <t>Camera Shy</t>
  </si>
  <si>
    <t>Bandits at 8 O'clock</t>
  </si>
  <si>
    <t>Bumblebee</t>
  </si>
  <si>
    <t>Blue Chaser (Libellula depressa Plattbauch)</t>
  </si>
  <si>
    <t>Singing Chaffinch</t>
  </si>
  <si>
    <t>Grizzly</t>
  </si>
  <si>
    <t>Hare Today</t>
  </si>
  <si>
    <t>The High-Jumper</t>
  </si>
  <si>
    <t>Courting</t>
  </si>
  <si>
    <t>Flying Ants Emergence</t>
  </si>
  <si>
    <t>That tastes good</t>
  </si>
  <si>
    <t>Too Blooming Cold</t>
  </si>
  <si>
    <t>Incy Wincy</t>
  </si>
  <si>
    <t>Kiss for Momma</t>
  </si>
  <si>
    <t>The Nest Builder</t>
  </si>
  <si>
    <t>In Flight</t>
  </si>
  <si>
    <t>Preening</t>
  </si>
  <si>
    <t>Turnstone Winter Plumage</t>
  </si>
  <si>
    <t>Bee on Flower</t>
  </si>
  <si>
    <t>On The Hunt</t>
  </si>
  <si>
    <t>Nut Hatch</t>
  </si>
  <si>
    <t>Great Tit Owlet Woods-1</t>
  </si>
  <si>
    <t>Anyone for a Cricket</t>
  </si>
  <si>
    <t>Come in its Warmer</t>
  </si>
  <si>
    <t>In Search of Nuts</t>
  </si>
  <si>
    <t>On The Look Out</t>
  </si>
  <si>
    <t>Picnic Time</t>
  </si>
  <si>
    <t>Hungry Robin</t>
  </si>
  <si>
    <t>Pheasant Day Out</t>
  </si>
  <si>
    <t>Thank You</t>
  </si>
  <si>
    <t>Whitby Harbour Take Off</t>
  </si>
  <si>
    <t>Peek a Boo</t>
  </si>
  <si>
    <t>Undercarridge</t>
  </si>
  <si>
    <t>Red Squirrel</t>
  </si>
  <si>
    <t>So She Said</t>
  </si>
  <si>
    <t>Whats That Dinner</t>
  </si>
  <si>
    <t>Julie Smith</t>
  </si>
  <si>
    <t>Kevin Richardson</t>
  </si>
  <si>
    <t>Bergen from Mt. Floyen</t>
  </si>
  <si>
    <t>Incoming Storm</t>
  </si>
  <si>
    <t>Dock Dwelling</t>
  </si>
  <si>
    <t>Classic View Of St. Paul's Cathedral</t>
  </si>
  <si>
    <t>Catching The Light</t>
  </si>
  <si>
    <t>Looking for the moon</t>
  </si>
  <si>
    <t>Across the Water</t>
  </si>
  <si>
    <t>Exhibition Centre, Reykjavik</t>
  </si>
  <si>
    <t>Sunset over Antigua</t>
  </si>
  <si>
    <t>Liberty Dock Leeds</t>
  </si>
  <si>
    <t>Not Asda Price</t>
  </si>
  <si>
    <t>Grey Day</t>
  </si>
  <si>
    <t>Tower Bridge</t>
  </si>
  <si>
    <t>Storms a brewing</t>
  </si>
  <si>
    <t>Bay Window Panorama</t>
  </si>
  <si>
    <t>Liverpool Dockside</t>
  </si>
  <si>
    <t>Waterfront Bergen</t>
  </si>
  <si>
    <t>The Old and the New</t>
  </si>
  <si>
    <t>The Kingston</t>
  </si>
  <si>
    <t>St Paul's Cathedral at Night</t>
  </si>
  <si>
    <t>Tunnel Vision</t>
  </si>
  <si>
    <t>Water feature of Lisbon</t>
  </si>
  <si>
    <t>O2 and Canary Wharf</t>
  </si>
  <si>
    <t>Willemstad Waterfront</t>
  </si>
  <si>
    <t>Coloured Houses in Dungarvan</t>
  </si>
  <si>
    <t>Alesund</t>
  </si>
  <si>
    <t>Constant Construction</t>
  </si>
  <si>
    <t>Dock Dwellers</t>
  </si>
  <si>
    <t>Cannon Street Railway Station</t>
  </si>
  <si>
    <t>Lisbon street</t>
  </si>
  <si>
    <t>Midnight Walk, Royal Victoria Docks</t>
  </si>
  <si>
    <t>Cardiff Bay</t>
  </si>
  <si>
    <t>Looking across at the money</t>
  </si>
  <si>
    <t>Spanish City , Whitley Bay</t>
  </si>
  <si>
    <t>Commercial Centre Liverpool</t>
  </si>
  <si>
    <t>Moon Lit Thames</t>
  </si>
  <si>
    <t>Leeds Street bridge 1870</t>
  </si>
  <si>
    <t>Gritty City</t>
  </si>
  <si>
    <t>London from a plane</t>
  </si>
  <si>
    <t>Now Where Did I Leave Juliet</t>
  </si>
  <si>
    <t>Liverpool Skyline</t>
  </si>
  <si>
    <t>Reflections of the wharf</t>
  </si>
  <si>
    <t>The Quayside, Newcastle</t>
  </si>
  <si>
    <t>Historic Bergen</t>
  </si>
  <si>
    <t>Street View</t>
  </si>
  <si>
    <t>Over the Roofs and Far Away</t>
  </si>
  <si>
    <t>River Thames</t>
  </si>
  <si>
    <t>modern buildings</t>
  </si>
  <si>
    <t>View from the Cable Car</t>
  </si>
  <si>
    <t>Night Falls at Portmeirion</t>
  </si>
  <si>
    <t>Top of the Dome</t>
  </si>
  <si>
    <t>Jonathan Boddy</t>
  </si>
  <si>
    <t>Green Stem</t>
  </si>
  <si>
    <t>Between The Lines</t>
  </si>
  <si>
    <t>Chrysanthemum</t>
  </si>
  <si>
    <t>Eric Treacy</t>
  </si>
  <si>
    <t>Black Onions</t>
  </si>
  <si>
    <t>Heading for the Zebra</t>
  </si>
  <si>
    <t>H2 HB</t>
  </si>
  <si>
    <t>A Trio of Red Daisies</t>
  </si>
  <si>
    <t>Just Passing</t>
  </si>
  <si>
    <t>Diet Gone Wrong</t>
  </si>
  <si>
    <t>Gravity Works Afterall</t>
  </si>
  <si>
    <t>Murphy's</t>
  </si>
  <si>
    <t>Blackpool Tower</t>
  </si>
  <si>
    <t>Larus Hippotigis-Zebra Gull</t>
  </si>
  <si>
    <t>Smudge</t>
  </si>
  <si>
    <t>In The Key of F Minor</t>
  </si>
  <si>
    <t>Yellow Apple</t>
  </si>
  <si>
    <t>Louise</t>
  </si>
  <si>
    <t>The Black Tulip</t>
  </si>
  <si>
    <t>The Beck at Barton Haven</t>
  </si>
  <si>
    <t>Skidby Mill</t>
  </si>
  <si>
    <t>Roof Lights</t>
  </si>
  <si>
    <t>Wolframite on Quartz</t>
  </si>
  <si>
    <t>Love Story</t>
  </si>
  <si>
    <t>Monolith</t>
  </si>
  <si>
    <t>Backlit Bottle</t>
  </si>
  <si>
    <t>Inch by Inch</t>
  </si>
  <si>
    <t>Boy Friday</t>
  </si>
  <si>
    <t>End Zone</t>
  </si>
  <si>
    <t>Dead Tree</t>
  </si>
  <si>
    <t>Fragments of a Stairway</t>
  </si>
  <si>
    <t>Black and White Cat in Coal Cellar</t>
  </si>
  <si>
    <t>Glycerine on Poly yarn</t>
  </si>
  <si>
    <t>Showing the Way</t>
  </si>
  <si>
    <t>Breaking the Chains</t>
  </si>
  <si>
    <t>Jack</t>
  </si>
  <si>
    <t>The Last Straw</t>
  </si>
  <si>
    <t>Invaders</t>
  </si>
  <si>
    <t>Friesian Cow</t>
  </si>
  <si>
    <t>Raining Dice</t>
  </si>
  <si>
    <t>Cruise Liverpool</t>
  </si>
  <si>
    <t>Perlan Cafe</t>
  </si>
  <si>
    <t>The White Album</t>
  </si>
  <si>
    <t>Glass Swan</t>
  </si>
  <si>
    <t>The Engineer</t>
  </si>
  <si>
    <t>Two White Poppies</t>
  </si>
  <si>
    <t>Submission</t>
  </si>
  <si>
    <t>Hawthorne Flower</t>
  </si>
  <si>
    <t>Ready to Sew</t>
  </si>
  <si>
    <t>Quick Response</t>
  </si>
  <si>
    <t>Ridge line</t>
  </si>
  <si>
    <t>Moonlit Tree Malhamdale</t>
  </si>
  <si>
    <t>Pond life after Dark</t>
  </si>
  <si>
    <t>Beach Ride</t>
  </si>
  <si>
    <t>A Different view</t>
  </si>
  <si>
    <t>Keep Those Engines Gleaming</t>
  </si>
  <si>
    <t>Coexistence</t>
  </si>
  <si>
    <t>Padley Gorge in Watercolour</t>
  </si>
  <si>
    <t>The Deceiver</t>
  </si>
  <si>
    <t>In Motion</t>
  </si>
  <si>
    <t>Complete Span</t>
  </si>
  <si>
    <t>Receding Tide</t>
  </si>
  <si>
    <t>Cooking Over a Traditional Chulha</t>
  </si>
  <si>
    <t>Postcard From Spurn</t>
  </si>
  <si>
    <t>The Eyes Have it</t>
  </si>
  <si>
    <t>Sun Set over Greineim Island</t>
  </si>
  <si>
    <t>Janet's Foss</t>
  </si>
  <si>
    <t>The Ballet Dancer</t>
  </si>
  <si>
    <t>Escaping the Break</t>
  </si>
  <si>
    <t>Paul Laws</t>
  </si>
  <si>
    <t>park hill abstract</t>
  </si>
  <si>
    <t>Could You just Move a Fraction to your Right Please</t>
  </si>
  <si>
    <t>Spring at the Cathedral</t>
  </si>
  <si>
    <t>Are you feeling Sleepy</t>
  </si>
  <si>
    <t>Cottage By The Loch</t>
  </si>
  <si>
    <t>Misty Morning</t>
  </si>
  <si>
    <t>Light Rays</t>
  </si>
  <si>
    <t>A Wee Brown Beastie</t>
  </si>
  <si>
    <t>Pinecone</t>
  </si>
  <si>
    <t>Reflections of Birmingham</t>
  </si>
  <si>
    <t>Whitby Goths</t>
  </si>
  <si>
    <t>The Bridge at Chester</t>
  </si>
  <si>
    <t>Finished for the day</t>
  </si>
  <si>
    <t>Sunset at Small Beach</t>
  </si>
  <si>
    <t>Quiver Tree</t>
  </si>
  <si>
    <t>New Holland Jetty</t>
  </si>
  <si>
    <t>Fair Manic</t>
  </si>
  <si>
    <t>Rainy Day at Spurn</t>
  </si>
  <si>
    <t>The Big Wheel</t>
  </si>
  <si>
    <t>Why are You Potographing Me</t>
  </si>
  <si>
    <t>The old Shed</t>
  </si>
  <si>
    <t>Have you paid the piper</t>
  </si>
  <si>
    <t>The Night Shift</t>
  </si>
  <si>
    <t>Taking a Dip</t>
  </si>
  <si>
    <t>View towards Grasmere</t>
  </si>
  <si>
    <t>Shady Characters</t>
  </si>
  <si>
    <t>Roots</t>
  </si>
  <si>
    <t>Heart of the Clementis</t>
  </si>
  <si>
    <t>Dried Chinese Lanterns</t>
  </si>
  <si>
    <t>Disco Dandelion</t>
  </si>
  <si>
    <t>Jeweled Regulator</t>
  </si>
  <si>
    <t>Clematis</t>
  </si>
  <si>
    <t>Echos of Elizabeth</t>
  </si>
  <si>
    <t>Reading</t>
  </si>
  <si>
    <t>Prickly Cactus</t>
  </si>
  <si>
    <t>Held Within</t>
  </si>
  <si>
    <t>Pretty Long-Horned Beetle</t>
  </si>
  <si>
    <t>Poppy</t>
  </si>
  <si>
    <t>Eye of the Spectrum</t>
  </si>
  <si>
    <t>Sands of Time</t>
  </si>
  <si>
    <t>Three Wishes Remaining</t>
  </si>
  <si>
    <t>The Edge Of Precision</t>
  </si>
  <si>
    <t>Transistor Dock</t>
  </si>
  <si>
    <t>Pumpkin Peduncle</t>
  </si>
  <si>
    <t>Hooked on Colour</t>
  </si>
  <si>
    <t>Bees Dinner</t>
  </si>
  <si>
    <t>Lords and Ladies</t>
  </si>
  <si>
    <t>Blue</t>
  </si>
  <si>
    <t>Fallen Nuts</t>
  </si>
  <si>
    <t>Schhhh...You Know Who</t>
  </si>
  <si>
    <t>Buttercup</t>
  </si>
  <si>
    <t>Axis of Symmetry</t>
  </si>
  <si>
    <t>Ding Dong Bells</t>
  </si>
  <si>
    <t>Red Campion</t>
  </si>
  <si>
    <t>Shy Bee</t>
  </si>
  <si>
    <t>Compass</t>
  </si>
  <si>
    <t>Snowdrop</t>
  </si>
  <si>
    <t>Where Focus Falls Away</t>
  </si>
  <si>
    <t>Feather</t>
  </si>
  <si>
    <t>Line of Intent</t>
  </si>
  <si>
    <t>Little Bud copy</t>
  </si>
  <si>
    <t>Wood Anenome (Anemonoides nemorosa)</t>
  </si>
  <si>
    <t>Eagle Feather</t>
  </si>
  <si>
    <t>Woodgrain</t>
  </si>
  <si>
    <t>Worlds Apart</t>
  </si>
  <si>
    <t>Gold Thread</t>
  </si>
  <si>
    <t>Liquid Anatomy</t>
  </si>
  <si>
    <t>There's Always a Fly</t>
  </si>
  <si>
    <t>Its All about the Make-Up</t>
  </si>
  <si>
    <t>Sunset from Brimham Rocks</t>
  </si>
  <si>
    <t>Pickering Beck</t>
  </si>
  <si>
    <t>Calm Before The Storm</t>
  </si>
  <si>
    <t>Ancholme Vally</t>
  </si>
  <si>
    <t>Capturing The Sunlight</t>
  </si>
  <si>
    <t>A House against the storm</t>
  </si>
  <si>
    <t>The Highlander</t>
  </si>
  <si>
    <t>The Village Pond</t>
  </si>
  <si>
    <t>Leaning Quiver Trees</t>
  </si>
  <si>
    <t>View from the top</t>
  </si>
  <si>
    <t>Evening Stillness</t>
  </si>
  <si>
    <t>The Old Stone Croft</t>
  </si>
  <si>
    <t>Watercolour Waterfall</t>
  </si>
  <si>
    <t>Veiw from the Rough</t>
  </si>
  <si>
    <t>Rugged Peaks</t>
  </si>
  <si>
    <t>View to the Bridge</t>
  </si>
  <si>
    <t>Old Cottage By The Pond</t>
  </si>
  <si>
    <t>The Road to Glen Coe</t>
  </si>
  <si>
    <t>Bleak House</t>
  </si>
  <si>
    <t>Beyond Nutwood</t>
  </si>
  <si>
    <t>Over the Hills</t>
  </si>
  <si>
    <t>Cumbira View</t>
  </si>
  <si>
    <t>Deadviei</t>
  </si>
  <si>
    <t>Another side to Staiths</t>
  </si>
  <si>
    <t>Ethereal Stones~2</t>
  </si>
  <si>
    <t>Rainbow Valley</t>
  </si>
  <si>
    <t>Lake Vrynwy</t>
  </si>
  <si>
    <t>Sgarasta Mhor</t>
  </si>
  <si>
    <t>View along the Hedge</t>
  </si>
  <si>
    <t>Misty Hills</t>
  </si>
  <si>
    <t>Maderno</t>
  </si>
  <si>
    <t>Lakeland Sunset</t>
  </si>
  <si>
    <t>The Lonely Ridge</t>
  </si>
  <si>
    <t>Portmerion</t>
  </si>
  <si>
    <t>Winters Roar</t>
  </si>
  <si>
    <t>Woodland Glade</t>
  </si>
  <si>
    <t>Patterns in the Sand</t>
  </si>
  <si>
    <t>Tale from a Riverbank</t>
  </si>
  <si>
    <t>Sunset in Derbyshire</t>
  </si>
  <si>
    <t>Catching the Race</t>
  </si>
  <si>
    <t>Collision Course</t>
  </si>
  <si>
    <t>Best Grandad Trucking</t>
  </si>
  <si>
    <t>Big Ben Tower Hull Fair</t>
  </si>
  <si>
    <t>Frazer Nash Attacking Coppice Hill</t>
  </si>
  <si>
    <t>Caught in the Rhythm</t>
  </si>
  <si>
    <t>Damn I missed it</t>
  </si>
  <si>
    <t>Family on the Move</t>
  </si>
  <si>
    <t>Coffee Explosion</t>
  </si>
  <si>
    <t>Tram Lines</t>
  </si>
  <si>
    <t>Racing The Waves</t>
  </si>
  <si>
    <t>Stoboscopic</t>
  </si>
  <si>
    <t>Jumping Clear</t>
  </si>
  <si>
    <t>Train Coming Into Ashington</t>
  </si>
  <si>
    <t>Liquid Symphony</t>
  </si>
  <si>
    <t>Farewell to the Cruise Ship</t>
  </si>
  <si>
    <t>Passing Through</t>
  </si>
  <si>
    <t>Th River Coupall - Glencoe</t>
  </si>
  <si>
    <t>Tree and Water</t>
  </si>
  <si>
    <t>Time and Motion</t>
  </si>
  <si>
    <t>Taken Flyght</t>
  </si>
  <si>
    <t>Oxford Circle Next Stop</t>
  </si>
  <si>
    <t>Wind Turbine and Grain Silos</t>
  </si>
  <si>
    <t>Urban Velocity</t>
  </si>
  <si>
    <t>Wild Water</t>
  </si>
  <si>
    <t>Stillness Amid the Rush</t>
  </si>
  <si>
    <t>Vintage Racers</t>
  </si>
  <si>
    <t>Swaying in the Water</t>
  </si>
  <si>
    <t>Dropping</t>
  </si>
  <si>
    <t>Forest In Motion</t>
  </si>
  <si>
    <t>Rib Ride</t>
  </si>
  <si>
    <t>City In Motion</t>
  </si>
  <si>
    <t>Hung Out to Dry</t>
  </si>
  <si>
    <t>Leap of Faith</t>
  </si>
  <si>
    <t>All the Fun of the Fair</t>
  </si>
  <si>
    <t>Avro Lancaster</t>
  </si>
  <si>
    <t>Mobility Mayhem</t>
  </si>
  <si>
    <t>Momentum</t>
  </si>
  <si>
    <t>The Dancers</t>
  </si>
  <si>
    <t>Spinning Wheel</t>
  </si>
  <si>
    <t>In a Hurry</t>
  </si>
  <si>
    <t>The Age of Steam</t>
  </si>
  <si>
    <t>Grace In Motion</t>
  </si>
  <si>
    <t>Shutter Drag</t>
  </si>
  <si>
    <t>The M1 at Night</t>
  </si>
  <si>
    <t>Chacing the Ball</t>
  </si>
  <si>
    <t>Catch Me If You Can</t>
  </si>
  <si>
    <t>Speed</t>
  </si>
  <si>
    <t>Navigating the Rapids</t>
  </si>
  <si>
    <t>This way round</t>
  </si>
  <si>
    <t>The Speed of the Dodgems</t>
  </si>
  <si>
    <t>Round And Round We Go</t>
  </si>
  <si>
    <t>Train now arriving</t>
  </si>
  <si>
    <t>The Rhythm Of Many Feet</t>
  </si>
  <si>
    <t>They Grow Anywhere</t>
  </si>
  <si>
    <t>Warping Out of Hull Fair</t>
  </si>
  <si>
    <t>Turbulent Sea</t>
  </si>
  <si>
    <t>Catching Bubbles</t>
  </si>
  <si>
    <t>Swinging A Shovel</t>
  </si>
  <si>
    <t>Windswept Freedom</t>
  </si>
  <si>
    <t>Colin Lusby</t>
  </si>
  <si>
    <t>Chri Donne</t>
  </si>
  <si>
    <t>Elegant White Lillies in a Vase</t>
  </si>
  <si>
    <t>Begonia</t>
  </si>
  <si>
    <t>Crocus in the Rain</t>
  </si>
  <si>
    <t>Burnt tip Orchid</t>
  </si>
  <si>
    <t>Peruvian Lily</t>
  </si>
  <si>
    <t>Lily in the Shadows</t>
  </si>
  <si>
    <t>Carnation</t>
  </si>
  <si>
    <t>Fuchsia</t>
  </si>
  <si>
    <t>Balloon Plant</t>
  </si>
  <si>
    <t>Rememberance Poppies</t>
  </si>
  <si>
    <t>Gladdies Gladioli</t>
  </si>
  <si>
    <t>Sunflower</t>
  </si>
  <si>
    <t>Japanese Anemone</t>
  </si>
  <si>
    <t>Ripples Of Romance</t>
  </si>
  <si>
    <t>Silent Vow</t>
  </si>
  <si>
    <t>Freshly Cut this Morning</t>
  </si>
  <si>
    <t>Pink Geranium</t>
  </si>
  <si>
    <t>Orchid Reflection</t>
  </si>
  <si>
    <t>Waterliies</t>
  </si>
  <si>
    <t>Trailing Geranium</t>
  </si>
  <si>
    <t>White Lily</t>
  </si>
  <si>
    <t>Rows of Lavendar</t>
  </si>
  <si>
    <t>Solitary Beauty</t>
  </si>
  <si>
    <t>Summer’s Golden Crown</t>
  </si>
  <si>
    <t>The Purple Petunia</t>
  </si>
  <si>
    <t>Red Poppies</t>
  </si>
  <si>
    <t>Yellow Dahlia</t>
  </si>
  <si>
    <t>Amaryllis</t>
  </si>
  <si>
    <t>Big Kiss White Flame Gazania</t>
  </si>
  <si>
    <t>Before the Bloom</t>
  </si>
  <si>
    <t>Nature’s Armour</t>
  </si>
  <si>
    <t>Gladioli in orange</t>
  </si>
  <si>
    <t>Fluffy Dandelion Seed Heads</t>
  </si>
  <si>
    <t>After the Petals have Gone</t>
  </si>
  <si>
    <t>Daffodil</t>
  </si>
  <si>
    <t>Dancing With My Shadow</t>
  </si>
  <si>
    <t>Blue Hydrangea</t>
  </si>
  <si>
    <t>Begonia Variant</t>
  </si>
  <si>
    <t>Gazania</t>
  </si>
  <si>
    <t>Meadow Glow</t>
  </si>
  <si>
    <t>The Quiet Path</t>
  </si>
  <si>
    <t>Sneezeweed through a globe</t>
  </si>
  <si>
    <t>Hibiscus Kaleidoscope</t>
  </si>
  <si>
    <t>Cut from the Wild</t>
  </si>
  <si>
    <t>Lily</t>
  </si>
  <si>
    <t>Gerbera Daisy</t>
  </si>
  <si>
    <t>Dahlia Burlesca</t>
  </si>
  <si>
    <t>Red Shades Gazania</t>
  </si>
  <si>
    <t>Vivid Poppy</t>
  </si>
  <si>
    <t>Transamerica in Bloom</t>
  </si>
  <si>
    <t>Tiger Flower</t>
  </si>
  <si>
    <t>Hydrangea Swirl</t>
  </si>
  <si>
    <t>Five Purple Trumpets</t>
  </si>
  <si>
    <t>Pink Rose</t>
  </si>
  <si>
    <t>Lily in Bloom</t>
  </si>
  <si>
    <t>Nutwood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</si>
</sst>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28"/>
      <color theme="1"/>
      <name val="Amasis MT Pro Black"/>
      <family val="1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i/>
      <sz val="20"/>
      <color rgb="FF3F3F76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5D1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C00000"/>
      </right>
      <top style="medium">
        <color indexed="64"/>
      </top>
      <bottom style="thin">
        <color indexed="64"/>
      </bottom>
      <diagonal/>
    </border>
    <border>
      <left style="double">
        <color rgb="FFC00000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double">
        <color rgb="FFC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C00000"/>
      </right>
      <top style="thin">
        <color indexed="64"/>
      </top>
      <bottom/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medium">
        <color auto="1"/>
      </bottom>
      <diagonal/>
    </border>
    <border>
      <left style="double">
        <color rgb="FFC0000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double">
        <color rgb="FFFF0000"/>
      </left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5" borderId="1" applyNumberFormat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4" borderId="0" xfId="0" applyFill="1" applyAlignment="1">
      <alignment horizontal="center"/>
    </xf>
    <xf numFmtId="0" fontId="0" fillId="8" borderId="4" xfId="0" applyFill="1" applyBorder="1"/>
    <xf numFmtId="0" fontId="0" fillId="8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right" vertical="center"/>
    </xf>
    <xf numFmtId="0" fontId="0" fillId="8" borderId="5" xfId="0" applyFill="1" applyBorder="1" applyAlignment="1">
      <alignment horizontal="left" vertical="center"/>
    </xf>
    <xf numFmtId="0" fontId="0" fillId="9" borderId="8" xfId="0" applyFill="1" applyBorder="1"/>
    <xf numFmtId="0" fontId="0" fillId="9" borderId="8" xfId="0" applyFill="1" applyBorder="1" applyAlignment="1">
      <alignment horizontal="center" vertical="center"/>
    </xf>
    <xf numFmtId="0" fontId="0" fillId="9" borderId="8" xfId="0" applyFill="1" applyBorder="1" applyAlignment="1">
      <alignment horizontal="right" vertical="center"/>
    </xf>
    <xf numFmtId="0" fontId="0" fillId="9" borderId="9" xfId="0" applyFill="1" applyBorder="1" applyAlignment="1">
      <alignment horizontal="left" vertical="center"/>
    </xf>
    <xf numFmtId="0" fontId="0" fillId="8" borderId="8" xfId="0" applyFill="1" applyBorder="1"/>
    <xf numFmtId="0" fontId="0" fillId="8" borderId="8" xfId="0" applyFill="1" applyBorder="1" applyAlignment="1">
      <alignment horizontal="center" vertical="center"/>
    </xf>
    <xf numFmtId="0" fontId="0" fillId="8" borderId="8" xfId="0" applyFill="1" applyBorder="1" applyAlignment="1">
      <alignment horizontal="right" vertical="center"/>
    </xf>
    <xf numFmtId="0" fontId="0" fillId="8" borderId="9" xfId="0" applyFill="1" applyBorder="1" applyAlignment="1">
      <alignment horizontal="left" vertical="center"/>
    </xf>
    <xf numFmtId="0" fontId="0" fillId="9" borderId="12" xfId="0" applyFill="1" applyBorder="1"/>
    <xf numFmtId="0" fontId="0" fillId="9" borderId="12" xfId="0" applyFill="1" applyBorder="1" applyAlignment="1">
      <alignment horizontal="center" vertical="center"/>
    </xf>
    <xf numFmtId="0" fontId="0" fillId="9" borderId="12" xfId="0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4" fontId="7" fillId="0" borderId="0" xfId="0" applyNumberFormat="1" applyFont="1" applyAlignment="1">
      <alignment horizontal="right" vertical="center"/>
    </xf>
    <xf numFmtId="0" fontId="0" fillId="8" borderId="17" xfId="0" applyFill="1" applyBorder="1"/>
    <xf numFmtId="0" fontId="0" fillId="8" borderId="17" xfId="0" applyFill="1" applyBorder="1" applyAlignment="1">
      <alignment horizontal="center" vertical="center"/>
    </xf>
    <xf numFmtId="0" fontId="0" fillId="8" borderId="17" xfId="0" applyFill="1" applyBorder="1" applyAlignment="1">
      <alignment horizontal="right" vertical="center"/>
    </xf>
    <xf numFmtId="0" fontId="0" fillId="8" borderId="20" xfId="0" applyFill="1" applyBorder="1" applyAlignment="1">
      <alignment horizontal="left" vertical="center"/>
    </xf>
    <xf numFmtId="0" fontId="0" fillId="8" borderId="21" xfId="0" applyFill="1" applyBorder="1" applyAlignment="1">
      <alignment horizontal="left" vertical="center"/>
    </xf>
    <xf numFmtId="0" fontId="0" fillId="9" borderId="22" xfId="0" applyFill="1" applyBorder="1"/>
    <xf numFmtId="0" fontId="0" fillId="9" borderId="22" xfId="0" applyFill="1" applyBorder="1" applyAlignment="1">
      <alignment horizontal="center" vertical="center"/>
    </xf>
    <xf numFmtId="0" fontId="0" fillId="9" borderId="22" xfId="0" applyFill="1" applyBorder="1" applyAlignment="1">
      <alignment horizontal="right" vertical="center"/>
    </xf>
    <xf numFmtId="0" fontId="0" fillId="9" borderId="23" xfId="0" applyFill="1" applyBorder="1" applyAlignment="1">
      <alignment horizontal="left" vertical="center"/>
    </xf>
    <xf numFmtId="0" fontId="0" fillId="9" borderId="21" xfId="0" applyFill="1" applyBorder="1" applyAlignment="1">
      <alignment horizontal="left" vertical="center"/>
    </xf>
    <xf numFmtId="0" fontId="0" fillId="9" borderId="24" xfId="0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7" borderId="13" xfId="3" applyBorder="1" applyAlignment="1">
      <alignment horizontal="center" vertical="center"/>
    </xf>
    <xf numFmtId="0" fontId="3" fillId="7" borderId="14" xfId="3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5" borderId="4" xfId="1" applyFont="1" applyBorder="1" applyAlignment="1">
      <alignment horizontal="center" vertical="center"/>
    </xf>
    <xf numFmtId="0" fontId="5" fillId="5" borderId="8" xfId="1" applyFont="1" applyBorder="1" applyAlignment="1">
      <alignment horizontal="center" vertical="center"/>
    </xf>
    <xf numFmtId="0" fontId="3" fillId="6" borderId="4" xfId="2" applyBorder="1" applyAlignment="1">
      <alignment horizontal="center" vertical="center"/>
    </xf>
    <xf numFmtId="0" fontId="3" fillId="6" borderId="8" xfId="2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</cellXfs>
  <cellStyles count="4">
    <cellStyle name="40% - Accent3" xfId="2" builtinId="39"/>
    <cellStyle name="40% - Accent4" xfId="3" builtinId="43"/>
    <cellStyle name="Input" xfId="1" builtinId="20"/>
    <cellStyle name="Normal" xfId="0" builtinId="0"/>
  </cellStyles>
  <dxfs count="24"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35D10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57BB847-9454-45FA-86DB-4FA2B6FBCD6C}" name="Print_Table9468121416182022" displayName="Print_Table9468121416182022" ref="B11:D32" totalsRowShown="0" headerRowDxfId="21">
  <autoFilter ref="B11:D32" xr:uid="{8796818B-D0F7-4C52-8233-709B677A96BA}"/>
  <sortState xmlns:xlrd2="http://schemas.microsoft.com/office/spreadsheetml/2017/richdata2" ref="B12:D32">
    <sortCondition descending="1" ref="D12:D32"/>
  </sortState>
  <tableColumns count="3">
    <tableColumn id="1" xr3:uid="{47EA1B03-0824-4676-913E-69D1E26685F2}" name="Author"/>
    <tableColumn id="2" xr3:uid="{133FA857-5053-4171-9E88-FE4CE405224B}" name="Title"/>
    <tableColumn id="3" xr3:uid="{04ED00FB-379C-4E83-80A6-F2B56CB7C63D}" name="Score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6A834AC-61F5-42C6-B741-CFB6AE18DCD9}" name="Digital_Table11579131517192123" displayName="Digital_Table11579131517192123" ref="F11:H40" totalsRowShown="0" headerRowDxfId="20">
  <sortState xmlns:xlrd2="http://schemas.microsoft.com/office/spreadsheetml/2017/richdata2" ref="F12:H40">
    <sortCondition descending="1" ref="H12:H40"/>
  </sortState>
  <tableColumns count="3">
    <tableColumn id="1" xr3:uid="{6AAFD138-FCC3-4E84-835B-271FE33B0384}" name="Author"/>
    <tableColumn id="2" xr3:uid="{61482C9F-61CC-426B-895E-4C8E5D7F8961}" name="Title"/>
    <tableColumn id="3" xr3:uid="{38E31BFC-5421-4136-A0A6-FB7D2CA33ECE}" name="Score"/>
  </tableColumns>
  <tableStyleInfo name="TableStyleLight1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4D8620D-35BE-40AB-BC52-4DFE7F5643AE}" name="Print_Table94681214161820" displayName="Print_Table94681214161820" ref="B11:D40" totalsRowShown="0" headerRowDxfId="19">
  <autoFilter ref="B11:D40" xr:uid="{8796818B-D0F7-4C52-8233-709B677A96BA}"/>
  <sortState xmlns:xlrd2="http://schemas.microsoft.com/office/spreadsheetml/2017/richdata2" ref="B12:D35">
    <sortCondition descending="1" ref="D11:D40"/>
  </sortState>
  <tableColumns count="3">
    <tableColumn id="1" xr3:uid="{BBF2CC23-6780-4161-B16F-B857DDFC977C}" name="Author"/>
    <tableColumn id="2" xr3:uid="{D5F97DB4-C85F-4FF8-B7E1-D8B1F6800D17}" name="Title"/>
    <tableColumn id="3" xr3:uid="{265E9C0C-48B4-491E-B803-8EAFE220CB3D}" name="Score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F1DB423-E393-47F0-A74A-71E2919BB34A}" name="Digital_Table115791315171921" displayName="Digital_Table115791315171921" ref="F11:H38" totalsRowShown="0" headerRowDxfId="18">
  <autoFilter ref="F11:H38" xr:uid="{A701B23B-F49F-4539-BF53-725B7E74ED88}"/>
  <sortState xmlns:xlrd2="http://schemas.microsoft.com/office/spreadsheetml/2017/richdata2" ref="F12:H38">
    <sortCondition descending="1" ref="H11:H38"/>
  </sortState>
  <tableColumns count="3">
    <tableColumn id="1" xr3:uid="{CA0768BA-148A-4644-A01D-C481299883F8}" name="Author"/>
    <tableColumn id="2" xr3:uid="{C0AF888E-6A44-45F9-8344-FB29EFDD8EEC}" name="Title"/>
    <tableColumn id="3" xr3:uid="{D47D1AC7-CB3E-48D1-B4A0-0DC06A9E35F5}" name="Score"/>
  </tableColumns>
  <tableStyleInfo name="TableStyleLight1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5AA48F5-8DF7-417C-BC30-5EE88205D6F9}" name="Print_Table946812141618" displayName="Print_Table946812141618" ref="B11:D40" totalsRowShown="0" headerRowDxfId="17">
  <autoFilter ref="B11:D40" xr:uid="{8796818B-D0F7-4C52-8233-709B677A96BA}"/>
  <sortState xmlns:xlrd2="http://schemas.microsoft.com/office/spreadsheetml/2017/richdata2" ref="B12:D40">
    <sortCondition descending="1" ref="D11:D40"/>
  </sortState>
  <tableColumns count="3">
    <tableColumn id="1" xr3:uid="{6525D3A5-DAFA-4483-A344-875CE97B66FC}" name="Author"/>
    <tableColumn id="2" xr3:uid="{01143153-F9FA-4753-86D3-47FD705286F1}" name="Title"/>
    <tableColumn id="3" xr3:uid="{67A2A2A9-0493-496E-A460-0A2B72B5DBA4}" name="Score"/>
  </tableColumns>
  <tableStyleInfo name="TableStyleLight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77D7EC5-4BA2-4294-A6E3-1F92B0BEE4F9}" name="Digital_Table1157913151719" displayName="Digital_Table1157913151719" ref="F11:H38" totalsRowShown="0" headerRowDxfId="16">
  <autoFilter ref="F11:H38" xr:uid="{A701B23B-F49F-4539-BF53-725B7E74ED88}"/>
  <sortState xmlns:xlrd2="http://schemas.microsoft.com/office/spreadsheetml/2017/richdata2" ref="F12:H38">
    <sortCondition descending="1" ref="H11:H38"/>
  </sortState>
  <tableColumns count="3">
    <tableColumn id="1" xr3:uid="{FD65B720-2210-453B-89FA-6036C5E4C30F}" name="Author"/>
    <tableColumn id="2" xr3:uid="{C1437A64-BB72-45D5-A520-00FDC5D815D0}" name="Title"/>
    <tableColumn id="3" xr3:uid="{3886CE49-DC49-42D2-A89A-749E985A8048}" name="Score"/>
  </tableColumns>
  <tableStyleInfo name="TableStyleLight1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A584561-E2A6-4C1C-9C26-F79C7806F9B9}" name="Print_Table9468121416" displayName="Print_Table9468121416" ref="B11:D40" totalsRowShown="0" headerRowDxfId="15">
  <autoFilter ref="B11:D40" xr:uid="{8796818B-D0F7-4C52-8233-709B677A96BA}"/>
  <sortState xmlns:xlrd2="http://schemas.microsoft.com/office/spreadsheetml/2017/richdata2" ref="B12:D33">
    <sortCondition descending="1" ref="D11:D40"/>
  </sortState>
  <tableColumns count="3">
    <tableColumn id="1" xr3:uid="{CC5BDE82-79F8-4F06-90E1-7A0C09A06B76}" name="Author"/>
    <tableColumn id="2" xr3:uid="{2C2CF622-3396-4880-97F9-8C41AFFE1667}" name="Title"/>
    <tableColumn id="3" xr3:uid="{D16772F5-C133-41F4-93E3-CF4589921360}" name="Score"/>
  </tableColumns>
  <tableStyleInfo name="TableStyleLight1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68695B7-DEB6-41C4-B2AF-AD1FEA4D0B93}" name="Digital_Table11579131517" displayName="Digital_Table11579131517" ref="F11:H38" totalsRowShown="0" headerRowDxfId="14">
  <autoFilter ref="F11:H38" xr:uid="{A701B23B-F49F-4539-BF53-725B7E74ED88}"/>
  <sortState xmlns:xlrd2="http://schemas.microsoft.com/office/spreadsheetml/2017/richdata2" ref="F12:H38">
    <sortCondition descending="1" ref="H11:H38"/>
  </sortState>
  <tableColumns count="3">
    <tableColumn id="1" xr3:uid="{871E2C4A-9390-409E-9B01-B581A59A4EB2}" name="Author"/>
    <tableColumn id="2" xr3:uid="{8FA03BB6-7E1C-45F8-9040-CBDFE20F21B1}" name="Title"/>
    <tableColumn id="3" xr3:uid="{DE4141E1-6787-4228-9712-592DFBDB4047}" name="Score"/>
  </tableColumns>
  <tableStyleInfo name="TableStyleLight1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7A20D16-371F-4705-BEA8-FE48F81709ED}" name="Print_Table94681214" displayName="Print_Table94681214" ref="B11:D40" totalsRowShown="0" headerRowDxfId="13">
  <autoFilter ref="B11:D40" xr:uid="{8796818B-D0F7-4C52-8233-709B677A96BA}"/>
  <sortState xmlns:xlrd2="http://schemas.microsoft.com/office/spreadsheetml/2017/richdata2" ref="B12:D33">
    <sortCondition descending="1" ref="D11:D40"/>
  </sortState>
  <tableColumns count="3">
    <tableColumn id="1" xr3:uid="{8FE886C3-8FFC-48DD-8B5F-8913F0C6A88A}" name="Author"/>
    <tableColumn id="2" xr3:uid="{3138CBFF-28EF-43A2-83F6-FF7C5DC21EF2}" name="Title"/>
    <tableColumn id="3" xr3:uid="{2FD4BA58-F916-4AF8-A714-6178EF037A1A}" name="Score"/>
  </tableColumns>
  <tableStyleInfo name="TableStyleLight1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BEBC1AA-54BF-4024-A53D-49CC6B2A6944}" name="Digital_Table115791315" displayName="Digital_Table115791315" ref="F11:H35" totalsRowShown="0" headerRowDxfId="12">
  <autoFilter ref="F11:H35" xr:uid="{A701B23B-F49F-4539-BF53-725B7E74ED88}"/>
  <sortState xmlns:xlrd2="http://schemas.microsoft.com/office/spreadsheetml/2017/richdata2" ref="F12:H35">
    <sortCondition descending="1" ref="H11:H35"/>
  </sortState>
  <tableColumns count="3">
    <tableColumn id="1" xr3:uid="{16BCCF5D-C7DB-4D74-92F3-0934EADEAED5}" name="Author"/>
    <tableColumn id="2" xr3:uid="{AE908F35-A019-4857-8789-D14CDED26F7E}" name="Title"/>
    <tableColumn id="3" xr3:uid="{58B4F672-AEFB-4BAD-8CCD-DE315360E08C}" name="Score"/>
  </tableColumns>
  <tableStyleInfo name="TableStyleLight1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31AB291-CD33-4327-B1EA-884A20687B5D}" name="Print_Table946812" displayName="Print_Table946812" ref="B11:D40" totalsRowShown="0" headerRowDxfId="11">
  <autoFilter ref="B11:D40" xr:uid="{8796818B-D0F7-4C52-8233-709B677A96BA}"/>
  <sortState xmlns:xlrd2="http://schemas.microsoft.com/office/spreadsheetml/2017/richdata2" ref="B12:D33">
    <sortCondition descending="1" ref="D11:D40"/>
  </sortState>
  <tableColumns count="3">
    <tableColumn id="1" xr3:uid="{2DE49C09-B80A-421C-9BE8-C8D9CA7F3BA1}" name="Author"/>
    <tableColumn id="2" xr3:uid="{2FB10E7F-DF89-4BEF-80BF-61B6656AB2DB}" name="Title"/>
    <tableColumn id="3" xr3:uid="{E8818170-86FD-4C65-B2FD-02380B9C367C}" name="Score"/>
  </tableColumns>
  <tableStyleInfo name="TableStyleLight1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057A62D-C9A4-45C8-95E3-7CB7B95E4630}" name="Digital_Table1157913" displayName="Digital_Table1157913" ref="F11:H32" totalsRowShown="0" headerRowDxfId="10">
  <autoFilter ref="F11:H32" xr:uid="{A701B23B-F49F-4539-BF53-725B7E74ED88}"/>
  <sortState xmlns:xlrd2="http://schemas.microsoft.com/office/spreadsheetml/2017/richdata2" ref="F12:H32">
    <sortCondition descending="1" ref="H11:H32"/>
  </sortState>
  <tableColumns count="3">
    <tableColumn id="1" xr3:uid="{7B91E10F-9BD4-4D21-BDC9-833CBD163D5F}" name="Author"/>
    <tableColumn id="2" xr3:uid="{048E3E99-6BCE-443E-853E-A14DAF8169C5}" name="Title"/>
    <tableColumn id="3" xr3:uid="{A6A682C3-C2AE-44F4-92D8-3D63DD7A21BB}" name="Score"/>
  </tableColumns>
  <tableStyleInfo name="TableStyleLight1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9912CDA-E544-4111-9207-762309683AE8}" name="Print_Table9468" displayName="Print_Table9468" ref="B11:D40" totalsRowShown="0" headerRowDxfId="9">
  <autoFilter ref="B11:D40" xr:uid="{8796818B-D0F7-4C52-8233-709B677A96BA}"/>
  <sortState xmlns:xlrd2="http://schemas.microsoft.com/office/spreadsheetml/2017/richdata2" ref="B12:D38">
    <sortCondition descending="1" ref="D11:D40"/>
  </sortState>
  <tableColumns count="3">
    <tableColumn id="1" xr3:uid="{E65F37FB-44BF-4EE3-91FD-E1D1DA4ABAE4}" name="Author"/>
    <tableColumn id="2" xr3:uid="{93675799-EBE8-41FD-86B8-7EB138161B90}" name="Title"/>
    <tableColumn id="3" xr3:uid="{FAAE230B-48C3-4CDC-A596-9F8F5B138380}" name="Score"/>
  </tableColumns>
  <tableStyleInfo name="TableStyleLight1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61C3B3-F7EA-4554-A003-306F5E6DEF05}" name="Digital_Table11579" displayName="Digital_Table11579" ref="F11:H44" totalsRowShown="0" headerRowDxfId="8">
  <autoFilter ref="F11:H44" xr:uid="{A701B23B-F49F-4539-BF53-725B7E74ED88}"/>
  <sortState xmlns:xlrd2="http://schemas.microsoft.com/office/spreadsheetml/2017/richdata2" ref="F12:H44">
    <sortCondition descending="1" ref="H11:H44"/>
  </sortState>
  <tableColumns count="3">
    <tableColumn id="1" xr3:uid="{2BF3055A-84DB-41F7-9881-4FE0B9F01379}" name="Author"/>
    <tableColumn id="2" xr3:uid="{09F7CBA2-E192-4982-9FE9-DC9C06F06859}" name="Title"/>
    <tableColumn id="3" xr3:uid="{78B8C20C-942A-40DE-BAD9-BA27A25D0D8F}" name="Score"/>
  </tableColumns>
  <tableStyleInfo name="TableStyleLight1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6897B5-B231-4B47-A09C-7DE94F6A7C70}" name="Print_Table946" displayName="Print_Table946" ref="B11:D40" totalsRowShown="0" headerRowDxfId="23">
  <autoFilter ref="B11:D40" xr:uid="{8796818B-D0F7-4C52-8233-709B677A96BA}"/>
  <sortState xmlns:xlrd2="http://schemas.microsoft.com/office/spreadsheetml/2017/richdata2" ref="B12:D40">
    <sortCondition descending="1" ref="D11:D40"/>
  </sortState>
  <tableColumns count="3">
    <tableColumn id="1" xr3:uid="{7800528E-71A3-4B65-BF0A-9DDCC3CF2C2B}" name="Author"/>
    <tableColumn id="2" xr3:uid="{CE8308A0-A8B6-42D9-B5C4-036D41E74E88}" name="Title"/>
    <tableColumn id="3" xr3:uid="{90BE9436-0808-469D-BA59-1895412CF09F}" name="Score"/>
  </tableColumns>
  <tableStyleInfo name="TableStyleLight14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5B4E004-0D97-40A6-95BC-047AF354ACC6}" name="Digital_Table1157" displayName="Digital_Table1157" ref="F11:H41" totalsRowShown="0" headerRowDxfId="22">
  <autoFilter ref="F11:H41" xr:uid="{A701B23B-F49F-4539-BF53-725B7E74ED88}"/>
  <sortState xmlns:xlrd2="http://schemas.microsoft.com/office/spreadsheetml/2017/richdata2" ref="F12:H41">
    <sortCondition descending="1" ref="H11:H41"/>
  </sortState>
  <tableColumns count="3">
    <tableColumn id="1" xr3:uid="{3F7952AD-1206-43C5-B75E-3CD35993BDC2}" name="Author"/>
    <tableColumn id="2" xr3:uid="{201D56AB-83CA-47F0-9B2E-B25209B2B724}" name="Title"/>
    <tableColumn id="3" xr3:uid="{DE591F03-8C06-48E1-8A81-3FE53796C757}" name="Score"/>
  </tableColumns>
  <tableStyleInfo name="TableStyleLight1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0F593A-12AF-4B00-829D-206EB9132944}" name="Print_Table94" displayName="Print_Table94" ref="B11:D40" totalsRowShown="0" headerRowDxfId="7">
  <autoFilter ref="B11:D40" xr:uid="{8796818B-D0F7-4C52-8233-709B677A96BA}"/>
  <tableColumns count="3">
    <tableColumn id="1" xr3:uid="{C347CF0E-2626-4485-A24E-E1FC58558A1E}" name="Author"/>
    <tableColumn id="2" xr3:uid="{C49D2933-0FC3-4CA2-9532-5CBF534B9724}" name="Title"/>
    <tableColumn id="3" xr3:uid="{5FCEE095-3191-459A-93A3-F314B8DFAFE6}" name="Score"/>
  </tableColumns>
  <tableStyleInfo name="TableStyleLight14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1F078B7-3095-498A-B95C-F09C2B744B8C}" name="Digital_Table115" displayName="Digital_Table115" ref="F11:H25" totalsRowShown="0" headerRowDxfId="6">
  <autoFilter ref="F11:H25" xr:uid="{A701B23B-F49F-4539-BF53-725B7E74ED88}"/>
  <tableColumns count="3">
    <tableColumn id="1" xr3:uid="{094835C8-C9AD-45F8-B4B7-A789377F7C55}" name="Author"/>
    <tableColumn id="2" xr3:uid="{8C99786F-B6D4-4941-B2AA-519BBF3106A3}" name="Title"/>
    <tableColumn id="3" xr3:uid="{7365DB03-891E-48E6-90E5-3C1E74C5606F}" name="Score"/>
  </tableColumns>
  <tableStyleInfo name="TableStyleLight1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E6D25D3-CF08-4E77-8CAB-21E94E55F889}" name="Print_Table9426" displayName="Print_Table9426" ref="B11:D40" totalsRowShown="0" headerRowDxfId="5">
  <autoFilter ref="B11:D40" xr:uid="{8796818B-D0F7-4C52-8233-709B677A96BA}"/>
  <tableColumns count="3">
    <tableColumn id="1" xr3:uid="{21982874-1B2D-464B-852F-4CD9EDC886F6}" name="Author"/>
    <tableColumn id="2" xr3:uid="{3B8FAB2B-9CE0-4C56-9CCD-49AB450DDD8E}" name="Title"/>
    <tableColumn id="3" xr3:uid="{A3AA33CE-6FBA-4AAF-AEC5-44DB4C676BAF}" name="Score"/>
  </tableColumns>
  <tableStyleInfo name="TableStyleLight14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E9955C87-6777-4083-AD14-E0F9D61C746A}" name="Digital_Table11527" displayName="Digital_Table11527" ref="F11:H25" totalsRowShown="0" headerRowDxfId="4">
  <autoFilter ref="F11:H25" xr:uid="{A701B23B-F49F-4539-BF53-725B7E74ED88}"/>
  <tableColumns count="3">
    <tableColumn id="1" xr3:uid="{8D8A1954-D192-41C1-B330-B7331811B389}" name="Author"/>
    <tableColumn id="2" xr3:uid="{5A93AC3B-873C-46CD-AF15-4E8718C87531}" name="Title"/>
    <tableColumn id="3" xr3:uid="{BB35AAB3-73E6-45CA-9672-1330E3C6F4AD}" name="Score"/>
  </tableColumns>
  <tableStyleInfo name="TableStyleLight1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C85BFC-D197-432D-9928-E6A1011CB2CC}" name="Print_Table9" displayName="Print_Table9" ref="B11:D40" totalsRowShown="0" headerRowDxfId="3">
  <autoFilter ref="B11:D40" xr:uid="{8796818B-D0F7-4C52-8233-709B677A96BA}"/>
  <tableColumns count="3">
    <tableColumn id="1" xr3:uid="{00B2A9B8-94E2-4728-ADD7-BF7B1ADC51A8}" name="Author"/>
    <tableColumn id="2" xr3:uid="{50A7D1F8-B8AA-4366-B99E-58B60B5B944F}" name="Title"/>
    <tableColumn id="3" xr3:uid="{5D69CC4C-C1A2-4764-B209-C7B578E3B35E}" name="Score"/>
  </tableColumns>
  <tableStyleInfo name="TableStyleLight14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5F927D-EAFF-4D80-A4B2-FF71D7CCE08D}" name="Digital_Table11" displayName="Digital_Table11" ref="F11:H25" totalsRowShown="0" headerRowDxfId="2">
  <autoFilter ref="F11:H25" xr:uid="{A701B23B-F49F-4539-BF53-725B7E74ED88}"/>
  <tableColumns count="3">
    <tableColumn id="1" xr3:uid="{C60F869E-645F-4D77-B982-803C4954945A}" name="Author"/>
    <tableColumn id="2" xr3:uid="{0CE05AD1-3EBD-40E3-B730-19B0385F0276}" name="Title"/>
    <tableColumn id="3" xr3:uid="{703C0656-E3A3-441E-9C06-57A2157999E6}" name="Score"/>
  </tableColumns>
  <tableStyleInfo name="TableStyleLight1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45689A7-E4DA-4B3C-8BE9-96D17B12B4FD}" name="Print_Table946812141618202224" displayName="Print_Table946812141618202224" ref="B11:D40" totalsRowShown="0" headerRowDxfId="1">
  <autoFilter ref="B11:D40" xr:uid="{8796818B-D0F7-4C52-8233-709B677A96BA}"/>
  <tableColumns count="3">
    <tableColumn id="1" xr3:uid="{C2E9E515-36C6-4FB6-A1A5-0B1ECB90A308}" name="Author"/>
    <tableColumn id="2" xr3:uid="{0E699E5F-238D-4659-8596-865FAB7AD2FB}" name="Title"/>
    <tableColumn id="3" xr3:uid="{CA6D8E56-B147-4D28-A386-007F86A47E3E}" name="Score"/>
  </tableColumns>
  <tableStyleInfo name="TableStyleLight14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FB4C19A-4A0D-4868-A2C8-0D2A3D211753}" name="Digital_Table1157913151719212325" displayName="Digital_Table1157913151719212325" ref="F11:H25" totalsRowShown="0" headerRowDxfId="0">
  <autoFilter ref="F11:H25" xr:uid="{A701B23B-F49F-4539-BF53-725B7E74ED88}"/>
  <tableColumns count="3">
    <tableColumn id="1" xr3:uid="{A9048272-FF24-4DF7-B1ED-FA44E7BABDB5}" name="Author"/>
    <tableColumn id="2" xr3:uid="{7F55AA63-38AB-41FE-BCEE-E37570621370}" name="Title"/>
    <tableColumn id="3" xr3:uid="{546CFA61-045D-4596-A860-DD7720DCFE82}" name="Score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table" Target="../tables/table1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externalLinkPath" Target="/f10b74ad0505982c/Desktop/exel%20test/Test%20score%20sheets.xlsx" TargetMode="External"/><Relationship Id="rId1" Type="http://schemas.openxmlformats.org/officeDocument/2006/relationships/externalLinkPath" Target="/f10b74ad0505982c/Desktop/exel%20test/Test%20score%20sheets.xlsx" TargetMode="External"/><Relationship Id="rId4" Type="http://schemas.openxmlformats.org/officeDocument/2006/relationships/table" Target="../tables/table1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table" Target="../tables/table2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externalLinkPath" Target="/f10b74ad0505982c/Desktop/exel%20test/Test%20score%20sheets.xlsx" TargetMode="External"/><Relationship Id="rId1" Type="http://schemas.openxmlformats.org/officeDocument/2006/relationships/externalLinkPath" Target="/f10b74ad0505982c/Desktop/exel%20test/Test%20score%20sheets.xlsx" TargetMode="External"/><Relationship Id="rId4" Type="http://schemas.openxmlformats.org/officeDocument/2006/relationships/table" Target="../tables/table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82F93-BE50-4A3F-9AF7-51DA51C971D1}">
  <dimension ref="B2:AE46"/>
  <sheetViews>
    <sheetView tabSelected="1" zoomScale="77" zoomScaleNormal="77" workbookViewId="0">
      <selection activeCell="AB5" sqref="AB5"/>
    </sheetView>
  </sheetViews>
  <sheetFormatPr defaultRowHeight="15" x14ac:dyDescent="0.25"/>
  <cols>
    <col min="2" max="2" width="17" style="2" bestFit="1" customWidth="1"/>
    <col min="5" max="5" width="9.140625" style="2"/>
    <col min="15" max="15" width="7.28515625" bestFit="1" customWidth="1"/>
    <col min="16" max="16" width="5.140625" style="27" customWidth="1"/>
    <col min="17" max="17" width="5" style="28" customWidth="1"/>
    <col min="18" max="19" width="9.140625" style="2"/>
    <col min="20" max="20" width="17" bestFit="1" customWidth="1"/>
    <col min="21" max="21" width="12" style="2" bestFit="1" customWidth="1"/>
    <col min="25" max="25" width="16.42578125" bestFit="1" customWidth="1"/>
    <col min="27" max="27" width="0" hidden="1" customWidth="1"/>
  </cols>
  <sheetData>
    <row r="2" spans="2:31" s="2" customFormat="1" ht="32.25" thickBot="1" x14ac:dyDescent="0.3">
      <c r="D2" s="29" t="s">
        <v>17</v>
      </c>
      <c r="E2" s="29" t="s">
        <v>18</v>
      </c>
      <c r="F2" s="29" t="s">
        <v>19</v>
      </c>
      <c r="G2" s="29" t="s">
        <v>20</v>
      </c>
      <c r="H2" s="29" t="s">
        <v>21</v>
      </c>
      <c r="I2" s="29" t="s">
        <v>22</v>
      </c>
      <c r="J2" s="29" t="s">
        <v>23</v>
      </c>
      <c r="K2" s="29" t="s">
        <v>24</v>
      </c>
      <c r="L2" s="29" t="s">
        <v>25</v>
      </c>
      <c r="M2" s="29" t="s">
        <v>26</v>
      </c>
      <c r="N2" s="29" t="s">
        <v>27</v>
      </c>
      <c r="O2" s="29" t="s">
        <v>28</v>
      </c>
      <c r="P2" s="61" t="s">
        <v>9</v>
      </c>
      <c r="Q2" s="61"/>
      <c r="R2" s="31" t="s">
        <v>29</v>
      </c>
      <c r="S2" s="31"/>
      <c r="U2" s="30" t="s">
        <v>30</v>
      </c>
      <c r="V2" s="31" t="s">
        <v>31</v>
      </c>
      <c r="W2" s="31" t="s">
        <v>32</v>
      </c>
    </row>
    <row r="3" spans="2:31" x14ac:dyDescent="0.25">
      <c r="B3" s="55" t="s">
        <v>33</v>
      </c>
      <c r="C3" s="12" t="s">
        <v>31</v>
      </c>
      <c r="D3" s="13">
        <v>51</v>
      </c>
      <c r="E3" s="13">
        <v>47</v>
      </c>
      <c r="F3" s="13">
        <v>56</v>
      </c>
      <c r="G3" s="13">
        <v>50</v>
      </c>
      <c r="H3" s="13">
        <v>54</v>
      </c>
      <c r="I3" s="13">
        <v>54</v>
      </c>
      <c r="J3" s="13">
        <v>47</v>
      </c>
      <c r="K3" s="13">
        <v>55</v>
      </c>
      <c r="L3" s="13"/>
      <c r="M3" s="13"/>
      <c r="N3" s="13"/>
      <c r="O3" s="13"/>
      <c r="P3" s="14"/>
      <c r="Q3" s="15">
        <f>SUM(D3:P3)</f>
        <v>414</v>
      </c>
      <c r="R3" s="57">
        <f>SUM(P3:Q4)</f>
        <v>821</v>
      </c>
      <c r="T3" s="62" t="s">
        <v>33</v>
      </c>
      <c r="U3" s="51">
        <f>RANK(R3,R$3:R$44)</f>
        <v>3</v>
      </c>
      <c r="V3" s="53">
        <f>RANK(Q3,$Q$3:$Q$44)</f>
        <v>3</v>
      </c>
      <c r="W3" s="47">
        <f>RANK(P4,$P$3:$P$44)</f>
        <v>5</v>
      </c>
    </row>
    <row r="4" spans="2:31" ht="15.75" thickBot="1" x14ac:dyDescent="0.3">
      <c r="B4" s="56"/>
      <c r="C4" s="16" t="s">
        <v>32</v>
      </c>
      <c r="D4" s="17">
        <v>50</v>
      </c>
      <c r="E4" s="17">
        <v>50</v>
      </c>
      <c r="F4" s="17">
        <v>50</v>
      </c>
      <c r="G4" s="17">
        <v>51</v>
      </c>
      <c r="H4" s="17">
        <v>53</v>
      </c>
      <c r="I4" s="17">
        <v>53</v>
      </c>
      <c r="J4" s="17">
        <v>47</v>
      </c>
      <c r="K4" s="17">
        <v>53</v>
      </c>
      <c r="L4" s="17"/>
      <c r="M4" s="17"/>
      <c r="N4" s="17"/>
      <c r="O4" s="17"/>
      <c r="P4" s="18">
        <f>SUM(D4:O4)</f>
        <v>407</v>
      </c>
      <c r="Q4" s="19"/>
      <c r="R4" s="58"/>
      <c r="T4" s="49"/>
      <c r="U4" s="52"/>
      <c r="V4" s="54"/>
      <c r="W4" s="48"/>
    </row>
    <row r="5" spans="2:31" ht="15.75" customHeight="1" x14ac:dyDescent="0.25">
      <c r="B5" s="55" t="s">
        <v>34</v>
      </c>
      <c r="C5" s="20" t="s">
        <v>31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47</v>
      </c>
      <c r="L5" s="21"/>
      <c r="M5" s="21"/>
      <c r="N5" s="21"/>
      <c r="O5" s="21"/>
      <c r="P5" s="22"/>
      <c r="Q5" s="23">
        <f>SUM(D5:O5)</f>
        <v>47</v>
      </c>
      <c r="R5" s="57">
        <f>SUM(P5:Q6)</f>
        <v>100</v>
      </c>
      <c r="T5" s="49" t="s">
        <v>34</v>
      </c>
      <c r="U5" s="51">
        <f>RANK(R5,R$3:R$44)</f>
        <v>11</v>
      </c>
      <c r="V5" s="53">
        <f>RANK(Q5,$Q$3:$Q$44)</f>
        <v>10</v>
      </c>
      <c r="W5" s="47">
        <f>RANK(P6,$P$3:$P$44)</f>
        <v>11</v>
      </c>
      <c r="Y5" s="2"/>
      <c r="Z5" s="2"/>
      <c r="AA5" s="2"/>
    </row>
    <row r="6" spans="2:31" ht="15.75" thickBot="1" x14ac:dyDescent="0.3">
      <c r="B6" s="56"/>
      <c r="C6" s="16" t="s">
        <v>32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53</v>
      </c>
      <c r="L6" s="17"/>
      <c r="M6" s="17"/>
      <c r="N6" s="17"/>
      <c r="O6" s="17"/>
      <c r="P6" s="18">
        <f>SUM(D6:O6)</f>
        <v>53</v>
      </c>
      <c r="Q6" s="19"/>
      <c r="R6" s="58"/>
      <c r="T6" s="49" t="s">
        <v>34</v>
      </c>
      <c r="U6" s="52"/>
      <c r="V6" s="54"/>
      <c r="W6" s="48"/>
      <c r="Z6" s="2"/>
      <c r="AA6" s="2"/>
    </row>
    <row r="7" spans="2:31" ht="15.75" customHeight="1" x14ac:dyDescent="0.25">
      <c r="B7" s="55" t="s">
        <v>35</v>
      </c>
      <c r="C7" s="20" t="s">
        <v>31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/>
      <c r="M7" s="21"/>
      <c r="N7" s="21"/>
      <c r="O7" s="21"/>
      <c r="P7" s="22"/>
      <c r="Q7" s="23">
        <f>SUM(D7:O7)</f>
        <v>0</v>
      </c>
      <c r="R7" s="57">
        <f>SUM(P7:Q8)</f>
        <v>0</v>
      </c>
      <c r="T7" s="49" t="s">
        <v>35</v>
      </c>
      <c r="U7" s="51">
        <f>RANK(R7,R$3:R$44)</f>
        <v>15</v>
      </c>
      <c r="V7" s="53">
        <f>RANK(Q7,$Q$3:$Q$44)</f>
        <v>11</v>
      </c>
      <c r="W7" s="47">
        <f>RANK(P8,$P$3:$P$44)</f>
        <v>15</v>
      </c>
      <c r="Z7" s="2"/>
      <c r="AA7" s="2"/>
    </row>
    <row r="8" spans="2:31" ht="15.75" thickBot="1" x14ac:dyDescent="0.3">
      <c r="B8" s="56"/>
      <c r="C8" s="16" t="s">
        <v>32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/>
      <c r="M8" s="17"/>
      <c r="N8" s="17"/>
      <c r="O8" s="17"/>
      <c r="P8" s="18">
        <f>SUM(D8:O8)</f>
        <v>0</v>
      </c>
      <c r="Q8" s="19"/>
      <c r="R8" s="58"/>
      <c r="T8" s="49"/>
      <c r="U8" s="52"/>
      <c r="V8" s="54"/>
      <c r="W8" s="48"/>
      <c r="X8" s="70"/>
      <c r="Y8" s="71"/>
      <c r="Z8" s="71"/>
      <c r="AA8" s="2"/>
    </row>
    <row r="9" spans="2:31" ht="15.75" customHeight="1" x14ac:dyDescent="0.25">
      <c r="B9" s="55" t="s">
        <v>48</v>
      </c>
      <c r="C9" s="20" t="s">
        <v>31</v>
      </c>
      <c r="D9" s="21">
        <v>50</v>
      </c>
      <c r="E9" s="21">
        <v>52</v>
      </c>
      <c r="F9" s="21">
        <v>51</v>
      </c>
      <c r="G9" s="21">
        <v>50</v>
      </c>
      <c r="H9" s="21">
        <v>51</v>
      </c>
      <c r="I9" s="21">
        <v>51</v>
      </c>
      <c r="J9" s="21">
        <v>50</v>
      </c>
      <c r="K9" s="21">
        <v>49</v>
      </c>
      <c r="L9" s="21"/>
      <c r="M9" s="21"/>
      <c r="N9" s="21"/>
      <c r="O9" s="21"/>
      <c r="P9" s="22"/>
      <c r="Q9" s="23">
        <f>SUM(D9:O9)</f>
        <v>404</v>
      </c>
      <c r="R9" s="57">
        <f>SUM(P9:Q10)</f>
        <v>817</v>
      </c>
      <c r="T9" s="49" t="s">
        <v>48</v>
      </c>
      <c r="U9" s="51">
        <f>RANK(R9,R$3:R$44)</f>
        <v>4</v>
      </c>
      <c r="V9" s="53">
        <f>RANK(Q9,$Q$3:$Q$44)</f>
        <v>4</v>
      </c>
      <c r="W9" s="47">
        <f>RANK(P10,$P$3:$P$44)</f>
        <v>3</v>
      </c>
      <c r="Z9" s="2"/>
      <c r="AA9" s="2"/>
    </row>
    <row r="10" spans="2:31" ht="15.75" thickBot="1" x14ac:dyDescent="0.3">
      <c r="B10" s="56"/>
      <c r="C10" s="16" t="s">
        <v>32</v>
      </c>
      <c r="D10" s="17">
        <v>51</v>
      </c>
      <c r="E10" s="17">
        <v>51</v>
      </c>
      <c r="F10" s="17">
        <v>51</v>
      </c>
      <c r="G10" s="17">
        <v>56</v>
      </c>
      <c r="H10" s="17">
        <v>54</v>
      </c>
      <c r="I10" s="17">
        <v>52</v>
      </c>
      <c r="J10" s="17">
        <v>50</v>
      </c>
      <c r="K10" s="17">
        <v>48</v>
      </c>
      <c r="L10" s="17"/>
      <c r="M10" s="17"/>
      <c r="N10" s="17"/>
      <c r="O10" s="17"/>
      <c r="P10" s="18">
        <f>SUM(D10:O10)</f>
        <v>413</v>
      </c>
      <c r="Q10" s="19"/>
      <c r="R10" s="58"/>
      <c r="T10" s="49"/>
      <c r="U10" s="52"/>
      <c r="V10" s="54"/>
      <c r="W10" s="48"/>
      <c r="Z10" s="2"/>
      <c r="AA10" s="2"/>
    </row>
    <row r="11" spans="2:31" ht="15.75" customHeight="1" x14ac:dyDescent="0.25">
      <c r="B11" s="55" t="s">
        <v>36</v>
      </c>
      <c r="C11" s="20" t="s">
        <v>31</v>
      </c>
      <c r="D11" s="21">
        <v>0</v>
      </c>
      <c r="E11" s="21">
        <v>45</v>
      </c>
      <c r="F11" s="21">
        <v>46</v>
      </c>
      <c r="G11" s="21">
        <v>0</v>
      </c>
      <c r="H11" s="21">
        <v>0</v>
      </c>
      <c r="I11" s="21">
        <v>0</v>
      </c>
      <c r="J11" s="21">
        <v>52</v>
      </c>
      <c r="K11" s="21">
        <v>50</v>
      </c>
      <c r="L11" s="21"/>
      <c r="M11" s="21"/>
      <c r="N11" s="21"/>
      <c r="O11" s="21"/>
      <c r="P11" s="22"/>
      <c r="Q11" s="23">
        <f>SUM(D11:O11)</f>
        <v>193</v>
      </c>
      <c r="R11" s="57">
        <f>SUM(P11:Q12)</f>
        <v>380</v>
      </c>
      <c r="T11" s="49" t="s">
        <v>36</v>
      </c>
      <c r="U11" s="51">
        <f>RANK(R11,R$3:R$44)</f>
        <v>8</v>
      </c>
      <c r="V11" s="53">
        <f>RANK(Q11,$Q$3:$Q$44)</f>
        <v>7</v>
      </c>
      <c r="W11" s="47">
        <f>RANK(P12,$P$3:$P$44)</f>
        <v>8</v>
      </c>
      <c r="Z11" s="2"/>
      <c r="AA11" s="2"/>
      <c r="AB11" s="2"/>
    </row>
    <row r="12" spans="2:31" ht="15.75" thickBot="1" x14ac:dyDescent="0.3">
      <c r="B12" s="56"/>
      <c r="C12" s="16" t="s">
        <v>32</v>
      </c>
      <c r="D12" s="17">
        <v>0</v>
      </c>
      <c r="E12" s="17">
        <v>47</v>
      </c>
      <c r="F12" s="17">
        <v>46</v>
      </c>
      <c r="G12" s="17">
        <v>0</v>
      </c>
      <c r="H12" s="17">
        <v>0</v>
      </c>
      <c r="I12" s="17">
        <v>0</v>
      </c>
      <c r="J12" s="17">
        <v>45</v>
      </c>
      <c r="K12" s="17">
        <v>49</v>
      </c>
      <c r="L12" s="17"/>
      <c r="M12" s="17"/>
      <c r="N12" s="17"/>
      <c r="O12" s="17"/>
      <c r="P12" s="18">
        <f>SUM(D12:O12)</f>
        <v>187</v>
      </c>
      <c r="Q12" s="19"/>
      <c r="R12" s="58"/>
      <c r="T12" s="49"/>
      <c r="U12" s="52"/>
      <c r="V12" s="54"/>
      <c r="W12" s="48"/>
      <c r="Z12" s="2"/>
      <c r="AA12" s="2"/>
      <c r="AB12" s="2"/>
      <c r="AC12" s="2"/>
      <c r="AE12" s="2"/>
    </row>
    <row r="13" spans="2:31" ht="15.75" customHeight="1" x14ac:dyDescent="0.25">
      <c r="B13" s="55" t="s">
        <v>45</v>
      </c>
      <c r="C13" s="20" t="s">
        <v>31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/>
      <c r="M13" s="21"/>
      <c r="N13" s="21"/>
      <c r="O13" s="21"/>
      <c r="P13" s="22"/>
      <c r="Q13" s="23">
        <f>SUM(D13:O13)</f>
        <v>0</v>
      </c>
      <c r="R13" s="57">
        <f>SUM(P13:Q14)</f>
        <v>0</v>
      </c>
      <c r="T13" s="59" t="s">
        <v>45</v>
      </c>
      <c r="U13" s="51">
        <f>RANK(R13,R$3:R$44)</f>
        <v>15</v>
      </c>
      <c r="V13" s="53">
        <f>RANK(Q13,$Q$3:$Q$44)</f>
        <v>11</v>
      </c>
      <c r="W13" s="47">
        <f>RANK(P14,$P$3:$P$44)</f>
        <v>15</v>
      </c>
      <c r="Z13" s="2"/>
      <c r="AA13" s="2"/>
      <c r="AB13" s="2"/>
      <c r="AE13" s="2"/>
    </row>
    <row r="14" spans="2:31" ht="15.75" thickBot="1" x14ac:dyDescent="0.3">
      <c r="B14" s="56"/>
      <c r="C14" s="16" t="s">
        <v>32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/>
      <c r="M14" s="17"/>
      <c r="N14" s="17"/>
      <c r="O14" s="17"/>
      <c r="P14" s="18">
        <f>SUM(D14:O14)</f>
        <v>0</v>
      </c>
      <c r="Q14" s="19"/>
      <c r="R14" s="58"/>
      <c r="T14" s="60"/>
      <c r="U14" s="52"/>
      <c r="V14" s="54"/>
      <c r="W14" s="48"/>
      <c r="Z14" s="2"/>
      <c r="AA14" s="2"/>
      <c r="AB14" s="2"/>
      <c r="AE14" s="2"/>
    </row>
    <row r="15" spans="2:31" ht="15.75" customHeight="1" x14ac:dyDescent="0.25">
      <c r="B15" s="55" t="s">
        <v>122</v>
      </c>
      <c r="C15" s="20" t="s">
        <v>31</v>
      </c>
      <c r="D15" s="21">
        <v>51</v>
      </c>
      <c r="E15" s="21">
        <v>51</v>
      </c>
      <c r="F15" s="21">
        <v>54</v>
      </c>
      <c r="G15" s="21">
        <v>54</v>
      </c>
      <c r="H15" s="21">
        <v>55</v>
      </c>
      <c r="I15" s="21">
        <v>54</v>
      </c>
      <c r="J15" s="21">
        <v>54</v>
      </c>
      <c r="K15" s="21">
        <v>51</v>
      </c>
      <c r="L15" s="21"/>
      <c r="M15" s="21"/>
      <c r="N15" s="21"/>
      <c r="O15" s="21"/>
      <c r="P15" s="22"/>
      <c r="Q15" s="23">
        <f>SUM(D15:O15)</f>
        <v>424</v>
      </c>
      <c r="R15" s="57">
        <f>SUM(P15:Q16)</f>
        <v>848</v>
      </c>
      <c r="T15" s="49" t="s">
        <v>122</v>
      </c>
      <c r="U15" s="51">
        <f>RANK(R15,R$3:R$44)</f>
        <v>2</v>
      </c>
      <c r="V15" s="53">
        <f>RANK(Q15,$Q$3:$Q$44)</f>
        <v>1</v>
      </c>
      <c r="W15" s="47">
        <f>RANK(P16,$P$3:$P$44)</f>
        <v>2</v>
      </c>
      <c r="Z15" s="2"/>
      <c r="AA15" s="2"/>
      <c r="AB15" s="2"/>
      <c r="AE15" s="2"/>
    </row>
    <row r="16" spans="2:31" ht="15.75" thickBot="1" x14ac:dyDescent="0.3">
      <c r="B16" s="56"/>
      <c r="C16" s="16" t="s">
        <v>32</v>
      </c>
      <c r="D16" s="17">
        <v>55</v>
      </c>
      <c r="E16" s="17">
        <v>51</v>
      </c>
      <c r="F16" s="17">
        <v>57</v>
      </c>
      <c r="G16" s="17">
        <v>51</v>
      </c>
      <c r="H16" s="17">
        <v>53</v>
      </c>
      <c r="I16" s="17">
        <v>52</v>
      </c>
      <c r="J16" s="17">
        <v>52</v>
      </c>
      <c r="K16" s="17">
        <v>53</v>
      </c>
      <c r="L16" s="17"/>
      <c r="M16" s="17"/>
      <c r="N16" s="17"/>
      <c r="O16" s="17"/>
      <c r="P16" s="18">
        <f>SUM(D16:O16)</f>
        <v>424</v>
      </c>
      <c r="Q16" s="19"/>
      <c r="R16" s="58"/>
      <c r="T16" s="49"/>
      <c r="U16" s="52"/>
      <c r="V16" s="54"/>
      <c r="W16" s="48"/>
      <c r="Z16" s="2"/>
      <c r="AA16" s="2"/>
      <c r="AB16" s="2"/>
      <c r="AE16" s="2"/>
    </row>
    <row r="17" spans="2:31" ht="15.75" customHeight="1" x14ac:dyDescent="0.25">
      <c r="B17" s="55" t="s">
        <v>46</v>
      </c>
      <c r="C17" s="20" t="s">
        <v>31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/>
      <c r="M17" s="21"/>
      <c r="N17" s="21"/>
      <c r="O17" s="21"/>
      <c r="P17" s="22"/>
      <c r="Q17" s="23">
        <f>SUM(D17:O17)</f>
        <v>0</v>
      </c>
      <c r="R17" s="57">
        <f>SUM(P17:Q18)</f>
        <v>90</v>
      </c>
      <c r="T17" s="49" t="s">
        <v>46</v>
      </c>
      <c r="U17" s="51">
        <f>RANK(R17,R$3:R$44)</f>
        <v>12</v>
      </c>
      <c r="V17" s="53">
        <f>RANK(Q17,$Q$3:$Q$44)</f>
        <v>11</v>
      </c>
      <c r="W17" s="47">
        <f>RANK(P18,$P$3:$P$44)</f>
        <v>10</v>
      </c>
      <c r="Z17" s="2"/>
      <c r="AA17" s="2"/>
      <c r="AB17" s="2"/>
      <c r="AE17" s="2"/>
    </row>
    <row r="18" spans="2:31" ht="15.75" thickBot="1" x14ac:dyDescent="0.3">
      <c r="B18" s="56"/>
      <c r="C18" s="16" t="s">
        <v>32</v>
      </c>
      <c r="D18" s="17">
        <v>0</v>
      </c>
      <c r="E18" s="17">
        <v>0</v>
      </c>
      <c r="F18" s="17">
        <v>0</v>
      </c>
      <c r="G18" s="17">
        <v>0</v>
      </c>
      <c r="H18" s="17">
        <v>46</v>
      </c>
      <c r="I18" s="17">
        <v>0</v>
      </c>
      <c r="J18" s="17">
        <v>44</v>
      </c>
      <c r="K18" s="17">
        <v>0</v>
      </c>
      <c r="L18" s="17"/>
      <c r="M18" s="17"/>
      <c r="N18" s="17"/>
      <c r="O18" s="17"/>
      <c r="P18" s="18">
        <f>SUM(D18:O18)</f>
        <v>90</v>
      </c>
      <c r="Q18" s="19"/>
      <c r="R18" s="58"/>
      <c r="T18" s="49"/>
      <c r="U18" s="52"/>
      <c r="V18" s="54"/>
      <c r="W18" s="48"/>
      <c r="X18" s="70"/>
      <c r="Y18" s="70"/>
      <c r="Z18" s="71"/>
      <c r="AA18" s="2"/>
      <c r="AB18" s="2"/>
      <c r="AE18" s="2"/>
    </row>
    <row r="19" spans="2:31" ht="15.75" customHeight="1" x14ac:dyDescent="0.25">
      <c r="B19" s="55" t="s">
        <v>37</v>
      </c>
      <c r="C19" s="20" t="s">
        <v>31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/>
      <c r="M19" s="21"/>
      <c r="N19" s="21"/>
      <c r="O19" s="21"/>
      <c r="P19" s="22"/>
      <c r="Q19" s="23">
        <f>SUM(D19:O19)</f>
        <v>0</v>
      </c>
      <c r="R19" s="57">
        <f>SUM(P19:Q20)</f>
        <v>50</v>
      </c>
      <c r="T19" s="59" t="s">
        <v>37</v>
      </c>
      <c r="U19" s="51">
        <f>RANK(R19,R$3:R$44)</f>
        <v>13</v>
      </c>
      <c r="V19" s="53">
        <f>RANK(Q19,$Q$3:$Q$44)</f>
        <v>11</v>
      </c>
      <c r="W19" s="47">
        <f>RANK(P20,$P$3:$P$44)</f>
        <v>12</v>
      </c>
      <c r="Z19" s="2"/>
      <c r="AA19" s="2"/>
      <c r="AB19" s="2"/>
      <c r="AE19" s="2"/>
    </row>
    <row r="20" spans="2:31" ht="15.75" thickBot="1" x14ac:dyDescent="0.3">
      <c r="B20" s="56"/>
      <c r="C20" s="16" t="s">
        <v>32</v>
      </c>
      <c r="D20" s="17">
        <v>0</v>
      </c>
      <c r="E20" s="17">
        <v>0</v>
      </c>
      <c r="F20" s="17">
        <v>0</v>
      </c>
      <c r="G20" s="17">
        <v>50</v>
      </c>
      <c r="H20" s="17">
        <v>0</v>
      </c>
      <c r="I20" s="17">
        <v>0</v>
      </c>
      <c r="J20" s="17">
        <v>0</v>
      </c>
      <c r="K20" s="17">
        <v>0</v>
      </c>
      <c r="L20" s="17"/>
      <c r="M20" s="17"/>
      <c r="N20" s="17"/>
      <c r="O20" s="17"/>
      <c r="P20" s="18">
        <f>SUM(D20:O20)</f>
        <v>50</v>
      </c>
      <c r="Q20" s="19"/>
      <c r="R20" s="58"/>
      <c r="T20" s="60"/>
      <c r="U20" s="52"/>
      <c r="V20" s="54"/>
      <c r="W20" s="48"/>
      <c r="Z20" s="2"/>
      <c r="AA20" s="2"/>
      <c r="AB20" s="2"/>
      <c r="AE20" s="2"/>
    </row>
    <row r="21" spans="2:31" ht="15.75" customHeight="1" x14ac:dyDescent="0.25">
      <c r="B21" s="55" t="s">
        <v>38</v>
      </c>
      <c r="C21" s="20" t="s">
        <v>31</v>
      </c>
      <c r="D21" s="21">
        <v>48</v>
      </c>
      <c r="E21" s="21">
        <v>53</v>
      </c>
      <c r="F21" s="21">
        <v>51</v>
      </c>
      <c r="G21" s="21">
        <v>54</v>
      </c>
      <c r="H21" s="21">
        <v>53</v>
      </c>
      <c r="I21" s="21">
        <v>50</v>
      </c>
      <c r="J21" s="21">
        <v>46</v>
      </c>
      <c r="K21" s="21">
        <v>47</v>
      </c>
      <c r="L21" s="21"/>
      <c r="M21" s="21"/>
      <c r="N21" s="21"/>
      <c r="O21" s="21"/>
      <c r="P21" s="22"/>
      <c r="Q21" s="23">
        <f>SUM(D21:O21)</f>
        <v>402</v>
      </c>
      <c r="R21" s="57">
        <f>SUM(P21:Q22)</f>
        <v>813</v>
      </c>
      <c r="T21" s="59" t="s">
        <v>38</v>
      </c>
      <c r="U21" s="51">
        <f>RANK(R21,R$3:R$44)</f>
        <v>5</v>
      </c>
      <c r="V21" s="53">
        <f>RANK(Q21,$Q$3:$Q$44)</f>
        <v>5</v>
      </c>
      <c r="W21" s="47">
        <f>RANK(P22,$P$3:$P$44)</f>
        <v>4</v>
      </c>
      <c r="Z21" s="2"/>
      <c r="AA21" s="2"/>
      <c r="AB21" s="2"/>
      <c r="AE21" s="2"/>
    </row>
    <row r="22" spans="2:31" ht="15.75" thickBot="1" x14ac:dyDescent="0.3">
      <c r="B22" s="56"/>
      <c r="C22" s="16" t="s">
        <v>32</v>
      </c>
      <c r="D22" s="17">
        <v>50</v>
      </c>
      <c r="E22" s="17">
        <v>52</v>
      </c>
      <c r="F22" s="17">
        <v>51</v>
      </c>
      <c r="G22" s="17">
        <v>50</v>
      </c>
      <c r="H22" s="17">
        <v>53</v>
      </c>
      <c r="I22" s="17">
        <v>51</v>
      </c>
      <c r="J22" s="17">
        <v>49</v>
      </c>
      <c r="K22" s="17">
        <v>55</v>
      </c>
      <c r="L22" s="17"/>
      <c r="M22" s="17"/>
      <c r="N22" s="17"/>
      <c r="O22" s="17"/>
      <c r="P22" s="18">
        <f>SUM(D22:O22)</f>
        <v>411</v>
      </c>
      <c r="Q22" s="19"/>
      <c r="R22" s="58"/>
      <c r="T22" s="60"/>
      <c r="U22" s="52"/>
      <c r="V22" s="54"/>
      <c r="W22" s="48"/>
      <c r="Z22" s="2"/>
      <c r="AA22" s="2"/>
      <c r="AB22" s="2"/>
      <c r="AE22" s="2"/>
    </row>
    <row r="23" spans="2:31" ht="15.75" customHeight="1" x14ac:dyDescent="0.25">
      <c r="B23" s="55" t="s">
        <v>39</v>
      </c>
      <c r="C23" s="20" t="s">
        <v>31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/>
      <c r="M23" s="21"/>
      <c r="N23" s="21"/>
      <c r="O23" s="21"/>
      <c r="P23" s="22"/>
      <c r="Q23" s="23">
        <f>SUM(D23:O23)</f>
        <v>0</v>
      </c>
      <c r="R23" s="57">
        <f>SUM(P23:Q24)</f>
        <v>0</v>
      </c>
      <c r="T23" s="59" t="s">
        <v>39</v>
      </c>
      <c r="U23" s="51">
        <f>RANK(R23,R$3:R$44)</f>
        <v>15</v>
      </c>
      <c r="V23" s="53">
        <f>RANK(Q23,$Q$3:$Q$44)</f>
        <v>11</v>
      </c>
      <c r="W23" s="47">
        <f>RANK(P24,$P3:$P$44)</f>
        <v>15</v>
      </c>
      <c r="Z23" s="2"/>
      <c r="AA23" s="2"/>
      <c r="AB23" s="2"/>
      <c r="AE23" s="2"/>
    </row>
    <row r="24" spans="2:31" ht="15.75" thickBot="1" x14ac:dyDescent="0.3">
      <c r="B24" s="56"/>
      <c r="C24" s="16" t="s">
        <v>32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/>
      <c r="M24" s="17"/>
      <c r="N24" s="17"/>
      <c r="O24" s="17"/>
      <c r="P24" s="18">
        <f>SUM(D24:O24)</f>
        <v>0</v>
      </c>
      <c r="Q24" s="19"/>
      <c r="R24" s="58"/>
      <c r="T24" s="60"/>
      <c r="U24" s="52"/>
      <c r="V24" s="54"/>
      <c r="W24" s="48"/>
      <c r="Z24" s="2"/>
      <c r="AB24" s="2"/>
    </row>
    <row r="25" spans="2:31" ht="15.75" customHeight="1" x14ac:dyDescent="0.25">
      <c r="B25" s="55" t="s">
        <v>40</v>
      </c>
      <c r="C25" s="20" t="s">
        <v>31</v>
      </c>
      <c r="D25" s="21">
        <v>0</v>
      </c>
      <c r="E25" s="21">
        <v>48</v>
      </c>
      <c r="F25" s="21">
        <v>46</v>
      </c>
      <c r="G25" s="21">
        <v>0</v>
      </c>
      <c r="H25" s="21">
        <v>0</v>
      </c>
      <c r="I25" s="21">
        <v>0</v>
      </c>
      <c r="J25" s="21">
        <v>43</v>
      </c>
      <c r="K25" s="21">
        <v>49</v>
      </c>
      <c r="L25" s="21"/>
      <c r="M25" s="21"/>
      <c r="N25" s="21"/>
      <c r="O25" s="21"/>
      <c r="P25" s="22"/>
      <c r="Q25" s="23">
        <f>SUM(D25:O25)</f>
        <v>186</v>
      </c>
      <c r="R25" s="57">
        <f>SUM(P25:Q26)</f>
        <v>368</v>
      </c>
      <c r="T25" s="59" t="s">
        <v>40</v>
      </c>
      <c r="U25" s="51">
        <f>RANK(R25,R$3:R$44)</f>
        <v>9</v>
      </c>
      <c r="V25" s="53">
        <f>RANK(Q25,$Q$3:$Q$44)</f>
        <v>8</v>
      </c>
      <c r="W25" s="47">
        <f>RANK(P26,$P$3:$P$44)</f>
        <v>9</v>
      </c>
      <c r="Z25" s="2"/>
      <c r="AB25" s="2"/>
    </row>
    <row r="26" spans="2:31" ht="15.75" thickBot="1" x14ac:dyDescent="0.3">
      <c r="B26" s="56"/>
      <c r="C26" s="16" t="s">
        <v>32</v>
      </c>
      <c r="D26" s="17">
        <v>0</v>
      </c>
      <c r="E26" s="17">
        <v>48</v>
      </c>
      <c r="F26" s="17">
        <v>46</v>
      </c>
      <c r="G26" s="17">
        <v>0</v>
      </c>
      <c r="H26" s="17">
        <v>0</v>
      </c>
      <c r="I26" s="17">
        <v>0</v>
      </c>
      <c r="J26" s="17">
        <v>43</v>
      </c>
      <c r="K26" s="17">
        <v>45</v>
      </c>
      <c r="L26" s="17"/>
      <c r="M26" s="17"/>
      <c r="N26" s="17"/>
      <c r="O26" s="17"/>
      <c r="P26" s="18">
        <f>SUM(D26:O26)</f>
        <v>182</v>
      </c>
      <c r="Q26" s="19"/>
      <c r="R26" s="58"/>
      <c r="T26" s="60"/>
      <c r="U26" s="52"/>
      <c r="V26" s="54"/>
      <c r="W26" s="48"/>
      <c r="Z26" s="2"/>
      <c r="AB26" s="2"/>
    </row>
    <row r="27" spans="2:31" x14ac:dyDescent="0.25">
      <c r="B27" s="55" t="s">
        <v>47</v>
      </c>
      <c r="C27" s="20" t="s">
        <v>31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/>
      <c r="M27" s="21"/>
      <c r="N27" s="21"/>
      <c r="O27" s="21"/>
      <c r="P27" s="22"/>
      <c r="Q27" s="23">
        <f>SUM(D27:O27)</f>
        <v>0</v>
      </c>
      <c r="R27" s="57">
        <f>SUM(P27:Q28)</f>
        <v>0</v>
      </c>
      <c r="T27" s="59" t="s">
        <v>47</v>
      </c>
      <c r="U27" s="51">
        <f>RANK(R27,R$3:R$44)</f>
        <v>15</v>
      </c>
      <c r="V27" s="53">
        <f>RANK(Q27,$Q$3:$Q$44)</f>
        <v>11</v>
      </c>
      <c r="W27" s="47">
        <f>RANK(P28,$P$3:$P$44)</f>
        <v>15</v>
      </c>
      <c r="Z27" s="2"/>
      <c r="AB27" s="2"/>
    </row>
    <row r="28" spans="2:31" ht="15.75" thickBot="1" x14ac:dyDescent="0.3">
      <c r="B28" s="56"/>
      <c r="C28" s="16" t="s">
        <v>32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/>
      <c r="M28" s="17"/>
      <c r="N28" s="17"/>
      <c r="O28" s="17"/>
      <c r="P28" s="18">
        <f>SUM(D28:O28)</f>
        <v>0</v>
      </c>
      <c r="Q28" s="19"/>
      <c r="R28" s="58"/>
      <c r="T28" s="60"/>
      <c r="U28" s="52"/>
      <c r="V28" s="54"/>
      <c r="W28" s="48"/>
      <c r="Z28" s="2"/>
      <c r="AB28" s="2"/>
    </row>
    <row r="29" spans="2:31" x14ac:dyDescent="0.25">
      <c r="B29" s="55" t="s">
        <v>41</v>
      </c>
      <c r="C29" s="20" t="s">
        <v>31</v>
      </c>
      <c r="D29" s="21">
        <v>55</v>
      </c>
      <c r="E29" s="21">
        <v>50</v>
      </c>
      <c r="F29" s="21">
        <v>48</v>
      </c>
      <c r="G29" s="21">
        <v>55</v>
      </c>
      <c r="H29" s="21">
        <v>52</v>
      </c>
      <c r="I29" s="21">
        <v>56</v>
      </c>
      <c r="J29" s="21">
        <v>55</v>
      </c>
      <c r="K29" s="21">
        <v>48</v>
      </c>
      <c r="L29" s="21"/>
      <c r="M29" s="21"/>
      <c r="N29" s="21"/>
      <c r="O29" s="21"/>
      <c r="P29" s="22"/>
      <c r="Q29" s="23">
        <f>SUM(D29:O29)</f>
        <v>419</v>
      </c>
      <c r="R29" s="57">
        <f t="shared" ref="R29" si="0">SUM(P29:Q30)</f>
        <v>852</v>
      </c>
      <c r="T29" s="59" t="s">
        <v>41</v>
      </c>
      <c r="U29" s="51">
        <f>RANK(R29,R$3:R$44)</f>
        <v>1</v>
      </c>
      <c r="V29" s="53">
        <f>RANK(Q29,$Q$3:$Q$44)</f>
        <v>2</v>
      </c>
      <c r="W29" s="47">
        <f>RANK(P30,$P$3:$P$44)</f>
        <v>1</v>
      </c>
      <c r="Z29" s="2"/>
      <c r="AB29" s="2"/>
    </row>
    <row r="30" spans="2:31" ht="15.75" thickBot="1" x14ac:dyDescent="0.3">
      <c r="B30" s="56"/>
      <c r="C30" s="16" t="s">
        <v>32</v>
      </c>
      <c r="D30" s="17">
        <v>57</v>
      </c>
      <c r="E30" s="17">
        <v>54</v>
      </c>
      <c r="F30" s="17">
        <v>55</v>
      </c>
      <c r="G30" s="17">
        <v>52</v>
      </c>
      <c r="H30" s="17">
        <v>54</v>
      </c>
      <c r="I30" s="17">
        <v>57</v>
      </c>
      <c r="J30" s="17">
        <v>53</v>
      </c>
      <c r="K30" s="17">
        <v>51</v>
      </c>
      <c r="L30" s="17"/>
      <c r="M30" s="17"/>
      <c r="N30" s="17"/>
      <c r="O30" s="17"/>
      <c r="P30" s="18">
        <f>SUM(D30:O30)</f>
        <v>433</v>
      </c>
      <c r="Q30" s="19"/>
      <c r="R30" s="58"/>
      <c r="T30" s="60"/>
      <c r="U30" s="52"/>
      <c r="V30" s="54"/>
      <c r="W30" s="48"/>
      <c r="Z30" s="2"/>
      <c r="AB30" s="2"/>
    </row>
    <row r="31" spans="2:31" x14ac:dyDescent="0.25">
      <c r="B31" s="55" t="s">
        <v>42</v>
      </c>
      <c r="C31" s="20" t="s">
        <v>31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54</v>
      </c>
      <c r="K31" s="21">
        <v>0</v>
      </c>
      <c r="L31" s="21"/>
      <c r="M31" s="21"/>
      <c r="N31" s="21"/>
      <c r="O31" s="21"/>
      <c r="P31" s="22"/>
      <c r="Q31" s="23">
        <f>SUM(D31:O31)</f>
        <v>54</v>
      </c>
      <c r="R31" s="57">
        <f t="shared" ref="R31" si="1">SUM(P31:Q32)</f>
        <v>104</v>
      </c>
      <c r="T31" s="59" t="s">
        <v>42</v>
      </c>
      <c r="U31" s="51">
        <f>RANK(R31,R$3:R$44)</f>
        <v>10</v>
      </c>
      <c r="V31" s="53">
        <f>RANK(Q31,$Q$3:$Q$44)</f>
        <v>9</v>
      </c>
      <c r="W31" s="47">
        <f>RANK(P32,$P$3:$P$44)</f>
        <v>12</v>
      </c>
      <c r="Z31" s="2"/>
    </row>
    <row r="32" spans="2:31" ht="15.75" thickBot="1" x14ac:dyDescent="0.3">
      <c r="B32" s="56"/>
      <c r="C32" s="16" t="s">
        <v>32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50</v>
      </c>
      <c r="K32" s="17">
        <v>0</v>
      </c>
      <c r="L32" s="17"/>
      <c r="M32" s="17"/>
      <c r="N32" s="17"/>
      <c r="O32" s="17"/>
      <c r="P32" s="18">
        <f>SUM(D32:O32)</f>
        <v>50</v>
      </c>
      <c r="Q32" s="19"/>
      <c r="R32" s="58"/>
      <c r="T32" s="60"/>
      <c r="U32" s="52"/>
      <c r="V32" s="54"/>
      <c r="W32" s="48"/>
      <c r="Z32" s="2"/>
    </row>
    <row r="33" spans="2:26" x14ac:dyDescent="0.25">
      <c r="B33" s="55" t="s">
        <v>43</v>
      </c>
      <c r="C33" s="20" t="s">
        <v>31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/>
      <c r="M33" s="21"/>
      <c r="N33" s="21"/>
      <c r="O33" s="21"/>
      <c r="P33" s="22"/>
      <c r="Q33" s="23">
        <f>SUM(D33:O33)</f>
        <v>0</v>
      </c>
      <c r="R33" s="57">
        <f t="shared" ref="R33" si="2">SUM(P33:Q34)</f>
        <v>399</v>
      </c>
      <c r="T33" s="59" t="s">
        <v>43</v>
      </c>
      <c r="U33" s="51">
        <f>RANK(R33,R$3:R$44)</f>
        <v>7</v>
      </c>
      <c r="V33" s="53">
        <f>RANK(Q33,$Q$3:$Q$44)</f>
        <v>11</v>
      </c>
      <c r="W33" s="47">
        <f>RANK(P34,$P$3:$P$44)</f>
        <v>6</v>
      </c>
      <c r="Z33" s="2"/>
    </row>
    <row r="34" spans="2:26" ht="15.75" thickBot="1" x14ac:dyDescent="0.3">
      <c r="B34" s="56"/>
      <c r="C34" s="16" t="s">
        <v>32</v>
      </c>
      <c r="D34" s="17">
        <v>52</v>
      </c>
      <c r="E34" s="17">
        <v>51</v>
      </c>
      <c r="F34" s="17">
        <v>50</v>
      </c>
      <c r="G34" s="17">
        <v>50</v>
      </c>
      <c r="H34" s="17">
        <v>50</v>
      </c>
      <c r="I34" s="17">
        <v>50</v>
      </c>
      <c r="J34" s="17">
        <v>51</v>
      </c>
      <c r="K34" s="17">
        <v>45</v>
      </c>
      <c r="L34" s="17"/>
      <c r="M34" s="17"/>
      <c r="N34" s="17"/>
      <c r="O34" s="17"/>
      <c r="P34" s="18">
        <f>SUM(D34:O34)</f>
        <v>399</v>
      </c>
      <c r="Q34" s="19"/>
      <c r="R34" s="58"/>
      <c r="T34" s="60"/>
      <c r="U34" s="52"/>
      <c r="V34" s="54"/>
      <c r="W34" s="48"/>
      <c r="Z34" s="2"/>
    </row>
    <row r="35" spans="2:26" ht="15.75" customHeight="1" x14ac:dyDescent="0.25">
      <c r="B35" s="55" t="s">
        <v>44</v>
      </c>
      <c r="C35" s="20" t="s">
        <v>31</v>
      </c>
      <c r="D35" s="21">
        <v>46</v>
      </c>
      <c r="E35" s="21">
        <v>49</v>
      </c>
      <c r="F35" s="21">
        <v>49</v>
      </c>
      <c r="G35" s="21">
        <v>54</v>
      </c>
      <c r="H35" s="21">
        <v>50</v>
      </c>
      <c r="I35" s="21">
        <v>49</v>
      </c>
      <c r="J35" s="21">
        <v>47</v>
      </c>
      <c r="K35" s="21">
        <v>49</v>
      </c>
      <c r="L35" s="21"/>
      <c r="M35" s="21"/>
      <c r="N35" s="21"/>
      <c r="O35" s="21"/>
      <c r="P35" s="22"/>
      <c r="Q35" s="23">
        <f t="shared" ref="Q35" si="3">SUM(D35:O35)</f>
        <v>393</v>
      </c>
      <c r="R35" s="57">
        <f t="shared" ref="R35" si="4">SUM(P35:Q36)</f>
        <v>789</v>
      </c>
      <c r="T35" s="49" t="s">
        <v>44</v>
      </c>
      <c r="U35" s="51">
        <f>RANK(R35,R$3:R$44)</f>
        <v>6</v>
      </c>
      <c r="V35" s="53">
        <f>RANK(Q35,$Q$3:$Q$44)</f>
        <v>6</v>
      </c>
      <c r="W35" s="47">
        <f>RANK(P36,$P$3:$P$44)</f>
        <v>7</v>
      </c>
      <c r="Z35" s="2"/>
    </row>
    <row r="36" spans="2:26" ht="15.75" thickBot="1" x14ac:dyDescent="0.3">
      <c r="B36" s="56"/>
      <c r="C36" s="16" t="s">
        <v>32</v>
      </c>
      <c r="D36" s="17">
        <v>51</v>
      </c>
      <c r="E36" s="17">
        <v>53</v>
      </c>
      <c r="F36" s="17">
        <v>47</v>
      </c>
      <c r="G36" s="17">
        <v>49</v>
      </c>
      <c r="H36" s="17">
        <v>50</v>
      </c>
      <c r="I36" s="17">
        <v>50</v>
      </c>
      <c r="J36" s="17">
        <v>47</v>
      </c>
      <c r="K36" s="17">
        <v>49</v>
      </c>
      <c r="L36" s="17"/>
      <c r="M36" s="17"/>
      <c r="N36" s="17"/>
      <c r="O36" s="17"/>
      <c r="P36" s="18">
        <f t="shared" ref="P36" si="5">SUM(D36:O36)</f>
        <v>396</v>
      </c>
      <c r="Q36" s="19"/>
      <c r="R36" s="58"/>
      <c r="T36" s="49"/>
      <c r="U36" s="52"/>
      <c r="V36" s="54"/>
      <c r="W36" s="48"/>
      <c r="Z36" s="2"/>
    </row>
    <row r="37" spans="2:26" ht="15.75" customHeight="1" x14ac:dyDescent="0.25">
      <c r="B37" s="55" t="s">
        <v>175</v>
      </c>
      <c r="C37" s="20" t="s">
        <v>31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/>
      <c r="M37" s="21"/>
      <c r="N37" s="21"/>
      <c r="O37" s="21"/>
      <c r="P37" s="22"/>
      <c r="Q37" s="23">
        <f t="shared" ref="Q37" si="6">SUM(D37:O37)</f>
        <v>0</v>
      </c>
      <c r="R37" s="57">
        <f t="shared" ref="R37" si="7">SUM(P37:Q38)</f>
        <v>0</v>
      </c>
      <c r="T37" s="49" t="s">
        <v>175</v>
      </c>
      <c r="U37" s="51">
        <f>RANK(R37,R$3:R$44)</f>
        <v>15</v>
      </c>
      <c r="V37" s="53">
        <f>RANK(Q37,$Q$3:$Q$44)</f>
        <v>11</v>
      </c>
      <c r="W37" s="47">
        <f>RANK(P38,$P$3:$P$44)</f>
        <v>15</v>
      </c>
      <c r="Z37" s="2"/>
    </row>
    <row r="38" spans="2:26" ht="15.75" thickBot="1" x14ac:dyDescent="0.3">
      <c r="B38" s="56"/>
      <c r="C38" s="16" t="s">
        <v>32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/>
      <c r="M38" s="17"/>
      <c r="N38" s="17"/>
      <c r="O38" s="17"/>
      <c r="P38" s="18">
        <f t="shared" ref="P38" si="8">SUM(D38:O38)</f>
        <v>0</v>
      </c>
      <c r="Q38" s="19"/>
      <c r="R38" s="58"/>
      <c r="T38" s="49"/>
      <c r="U38" s="52"/>
      <c r="V38" s="54"/>
      <c r="W38" s="48"/>
      <c r="Z38" s="2"/>
    </row>
    <row r="39" spans="2:26" ht="15.75" customHeight="1" thickBot="1" x14ac:dyDescent="0.3">
      <c r="B39" s="55" t="s">
        <v>245</v>
      </c>
      <c r="C39" s="20" t="s">
        <v>31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/>
      <c r="M39" s="21"/>
      <c r="N39" s="21"/>
      <c r="O39" s="21"/>
      <c r="P39" s="22"/>
      <c r="Q39" s="23">
        <f t="shared" ref="Q39" si="9">SUM(D39:O39)</f>
        <v>0</v>
      </c>
      <c r="R39" s="64">
        <f t="shared" ref="R39" si="10">SUM(P39:Q40)</f>
        <v>50</v>
      </c>
      <c r="T39" s="49" t="s">
        <v>245</v>
      </c>
      <c r="U39" s="51">
        <f>RANK(R39,R$3:R$44)</f>
        <v>13</v>
      </c>
      <c r="V39" s="53">
        <f>RANK(Q39,$Q$3:$Q$44)</f>
        <v>11</v>
      </c>
      <c r="W39" s="47">
        <f>RANK(P40,$P$3:$P$44)</f>
        <v>12</v>
      </c>
    </row>
    <row r="40" spans="2:26" ht="15.75" customHeight="1" thickBot="1" x14ac:dyDescent="0.3">
      <c r="B40" s="56"/>
      <c r="C40" s="16" t="s">
        <v>32</v>
      </c>
      <c r="D40" s="17">
        <v>0</v>
      </c>
      <c r="E40" s="17">
        <v>0</v>
      </c>
      <c r="F40" s="17">
        <v>0</v>
      </c>
      <c r="G40" s="17">
        <v>50</v>
      </c>
      <c r="H40" s="17">
        <v>0</v>
      </c>
      <c r="I40" s="17">
        <v>0</v>
      </c>
      <c r="J40" s="17">
        <v>0</v>
      </c>
      <c r="K40" s="17">
        <v>0</v>
      </c>
      <c r="L40" s="17"/>
      <c r="M40" s="17"/>
      <c r="N40" s="17"/>
      <c r="O40" s="17"/>
      <c r="P40" s="18">
        <f t="shared" ref="P40" si="11">SUM(D40:O40)</f>
        <v>50</v>
      </c>
      <c r="Q40" s="19"/>
      <c r="R40" s="64"/>
      <c r="T40" s="50"/>
      <c r="U40" s="52"/>
      <c r="V40" s="54"/>
      <c r="W40" s="48"/>
    </row>
    <row r="41" spans="2:26" ht="15.75" customHeight="1" thickBot="1" x14ac:dyDescent="0.3">
      <c r="B41" s="67"/>
      <c r="C41" s="34" t="s">
        <v>31</v>
      </c>
      <c r="D41" s="35">
        <v>0</v>
      </c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6"/>
      <c r="Q41" s="37">
        <f t="shared" ref="Q41" si="12">SUM(D41:O41)</f>
        <v>0</v>
      </c>
      <c r="R41" s="64">
        <f t="shared" ref="R41" si="13">SUM(P41:Q42)</f>
        <v>0</v>
      </c>
      <c r="T41" s="49"/>
      <c r="U41" s="51">
        <f>RANK(R41,R$3:R$44)</f>
        <v>15</v>
      </c>
      <c r="V41" s="53">
        <f>RANK(Q41,$Q$3:$Q$44)</f>
        <v>11</v>
      </c>
      <c r="W41" s="47">
        <f>RANK(P42,$P$3:$P$44)</f>
        <v>15</v>
      </c>
    </row>
    <row r="42" spans="2:26" ht="15.75" customHeight="1" thickBot="1" x14ac:dyDescent="0.3">
      <c r="B42" s="67"/>
      <c r="C42" s="39" t="s">
        <v>32</v>
      </c>
      <c r="D42" s="40">
        <v>0</v>
      </c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1">
        <f t="shared" ref="P42" si="14">SUM(D42:O42)</f>
        <v>0</v>
      </c>
      <c r="Q42" s="42"/>
      <c r="R42" s="64"/>
      <c r="T42" s="50"/>
      <c r="U42" s="52"/>
      <c r="V42" s="54"/>
      <c r="W42" s="48"/>
    </row>
    <row r="43" spans="2:26" ht="15.75" customHeight="1" thickBot="1" x14ac:dyDescent="0.3">
      <c r="B43" s="65"/>
      <c r="C43" s="20" t="s">
        <v>31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2"/>
      <c r="Q43" s="38">
        <f t="shared" ref="Q43" si="15">SUM(D43:O43)</f>
        <v>0</v>
      </c>
      <c r="R43" s="66">
        <f t="shared" ref="R43" si="16">SUM(P43:Q44)</f>
        <v>0</v>
      </c>
      <c r="T43" s="49"/>
      <c r="U43" s="51">
        <f>RANK(R43,R$3:R$44)</f>
        <v>15</v>
      </c>
      <c r="V43" s="53">
        <f>RANK(Q43,$Q$3:$Q$44)</f>
        <v>11</v>
      </c>
      <c r="W43" s="47">
        <f>RANK(P44,$P$3:$P$44)</f>
        <v>15</v>
      </c>
    </row>
    <row r="44" spans="2:26" ht="15.75" customHeight="1" thickBot="1" x14ac:dyDescent="0.3">
      <c r="B44" s="65"/>
      <c r="C44" s="16" t="s">
        <v>32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8">
        <f t="shared" ref="P44" si="17">SUM(D44:O44)</f>
        <v>0</v>
      </c>
      <c r="Q44" s="43"/>
      <c r="R44" s="66"/>
      <c r="T44" s="50"/>
      <c r="U44" s="52"/>
      <c r="V44" s="54"/>
      <c r="W44" s="48"/>
    </row>
    <row r="45" spans="2:26" ht="15.75" thickBot="1" x14ac:dyDescent="0.3">
      <c r="B45" s="55"/>
      <c r="C45" s="20" t="s">
        <v>31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2"/>
      <c r="Q45" s="23">
        <f t="shared" ref="Q45" si="18">SUM(D45:O45)</f>
        <v>0</v>
      </c>
      <c r="R45" s="64">
        <f t="shared" ref="R45" si="19">SUM(P45:Q46)</f>
        <v>0</v>
      </c>
    </row>
    <row r="46" spans="2:26" ht="15.75" thickBot="1" x14ac:dyDescent="0.3">
      <c r="B46" s="63"/>
      <c r="C46" s="24" t="s">
        <v>32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6">
        <f t="shared" ref="P46" si="20">SUM(D46:O46)</f>
        <v>0</v>
      </c>
      <c r="Q46" s="44"/>
      <c r="R46" s="64"/>
    </row>
  </sheetData>
  <sortState xmlns:xlrd2="http://schemas.microsoft.com/office/spreadsheetml/2017/richdata2" ref="B3:B44">
    <sortCondition ref="B3:B44"/>
  </sortState>
  <mergeCells count="129">
    <mergeCell ref="B45:B46"/>
    <mergeCell ref="R45:R46"/>
    <mergeCell ref="T27:T28"/>
    <mergeCell ref="T29:T30"/>
    <mergeCell ref="T31:T32"/>
    <mergeCell ref="T33:T34"/>
    <mergeCell ref="T35:T36"/>
    <mergeCell ref="B39:B40"/>
    <mergeCell ref="R39:R40"/>
    <mergeCell ref="B31:B32"/>
    <mergeCell ref="R31:R32"/>
    <mergeCell ref="B43:B44"/>
    <mergeCell ref="R43:R44"/>
    <mergeCell ref="B41:B42"/>
    <mergeCell ref="R41:R42"/>
    <mergeCell ref="U39:U40"/>
    <mergeCell ref="V39:V40"/>
    <mergeCell ref="W39:W40"/>
    <mergeCell ref="T39:T40"/>
    <mergeCell ref="B35:B36"/>
    <mergeCell ref="R35:R36"/>
    <mergeCell ref="U35:U36"/>
    <mergeCell ref="V35:V36"/>
    <mergeCell ref="W35:W36"/>
    <mergeCell ref="B37:B38"/>
    <mergeCell ref="R37:R38"/>
    <mergeCell ref="U37:U38"/>
    <mergeCell ref="V37:V38"/>
    <mergeCell ref="W37:W38"/>
    <mergeCell ref="T37:T38"/>
    <mergeCell ref="U31:U32"/>
    <mergeCell ref="V31:V32"/>
    <mergeCell ref="W31:W32"/>
    <mergeCell ref="B33:B34"/>
    <mergeCell ref="R33:R34"/>
    <mergeCell ref="U33:U34"/>
    <mergeCell ref="V33:V34"/>
    <mergeCell ref="W33:W34"/>
    <mergeCell ref="B27:B28"/>
    <mergeCell ref="R27:R28"/>
    <mergeCell ref="U27:U28"/>
    <mergeCell ref="V27:V28"/>
    <mergeCell ref="W27:W28"/>
    <mergeCell ref="B29:B30"/>
    <mergeCell ref="R29:R30"/>
    <mergeCell ref="U29:U30"/>
    <mergeCell ref="V29:V30"/>
    <mergeCell ref="W29:W30"/>
    <mergeCell ref="W21:W22"/>
    <mergeCell ref="T21:T22"/>
    <mergeCell ref="B23:B24"/>
    <mergeCell ref="R23:R24"/>
    <mergeCell ref="U23:U24"/>
    <mergeCell ref="V23:V24"/>
    <mergeCell ref="W23:W24"/>
    <mergeCell ref="T23:T24"/>
    <mergeCell ref="B25:B26"/>
    <mergeCell ref="R25:R26"/>
    <mergeCell ref="U25:U26"/>
    <mergeCell ref="V25:V26"/>
    <mergeCell ref="W25:W26"/>
    <mergeCell ref="T25:T26"/>
    <mergeCell ref="B11:B12"/>
    <mergeCell ref="R11:R12"/>
    <mergeCell ref="U11:U12"/>
    <mergeCell ref="V11:V12"/>
    <mergeCell ref="W11:W12"/>
    <mergeCell ref="T11:T12"/>
    <mergeCell ref="B15:B16"/>
    <mergeCell ref="R15:R16"/>
    <mergeCell ref="U15:U16"/>
    <mergeCell ref="V15:V16"/>
    <mergeCell ref="W15:W16"/>
    <mergeCell ref="T15:T16"/>
    <mergeCell ref="T13:T14"/>
    <mergeCell ref="W13:W14"/>
    <mergeCell ref="V13:V14"/>
    <mergeCell ref="U13:U14"/>
    <mergeCell ref="R13:R14"/>
    <mergeCell ref="B13:B14"/>
    <mergeCell ref="B7:B8"/>
    <mergeCell ref="R7:R8"/>
    <mergeCell ref="U7:U8"/>
    <mergeCell ref="V7:V8"/>
    <mergeCell ref="W7:W8"/>
    <mergeCell ref="T7:T8"/>
    <mergeCell ref="B9:B10"/>
    <mergeCell ref="R9:R10"/>
    <mergeCell ref="U9:U10"/>
    <mergeCell ref="V9:V10"/>
    <mergeCell ref="W9:W10"/>
    <mergeCell ref="T9:T10"/>
    <mergeCell ref="W3:W4"/>
    <mergeCell ref="P2:Q2"/>
    <mergeCell ref="B3:B4"/>
    <mergeCell ref="R3:R4"/>
    <mergeCell ref="U3:U4"/>
    <mergeCell ref="V3:V4"/>
    <mergeCell ref="T3:T4"/>
    <mergeCell ref="B5:B6"/>
    <mergeCell ref="R5:R6"/>
    <mergeCell ref="U5:U6"/>
    <mergeCell ref="V5:V6"/>
    <mergeCell ref="W5:W6"/>
    <mergeCell ref="T5:T6"/>
    <mergeCell ref="W41:W42"/>
    <mergeCell ref="W43:W44"/>
    <mergeCell ref="T41:T42"/>
    <mergeCell ref="U41:U42"/>
    <mergeCell ref="V41:V42"/>
    <mergeCell ref="T43:T44"/>
    <mergeCell ref="U43:U44"/>
    <mergeCell ref="V43:V44"/>
    <mergeCell ref="B17:B18"/>
    <mergeCell ref="R17:R18"/>
    <mergeCell ref="U17:U18"/>
    <mergeCell ref="V17:V18"/>
    <mergeCell ref="W17:W18"/>
    <mergeCell ref="T17:T18"/>
    <mergeCell ref="B19:B20"/>
    <mergeCell ref="R19:R20"/>
    <mergeCell ref="U19:U20"/>
    <mergeCell ref="V19:V20"/>
    <mergeCell ref="W19:W20"/>
    <mergeCell ref="T19:T20"/>
    <mergeCell ref="B21:B22"/>
    <mergeCell ref="R21:R22"/>
    <mergeCell ref="U21:U22"/>
    <mergeCell ref="V21:V2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26EE2-3265-4D88-8BA6-E6870A2635CF}">
  <dimension ref="B2:N40"/>
  <sheetViews>
    <sheetView topLeftCell="A17" zoomScaleNormal="100" workbookViewId="0">
      <selection activeCell="J32" activeCellId="1" sqref="J12:K18 J32:K39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4.7109375" bestFit="1" customWidth="1"/>
    <col min="7" max="7" width="32.7109375" bestFit="1" customWidth="1"/>
    <col min="8" max="8" width="11.28515625" customWidth="1"/>
    <col min="10" max="10" width="17" bestFit="1" customWidth="1"/>
    <col min="11" max="11" width="9.140625" style="2"/>
    <col min="13" max="13" width="17.5703125" customWidth="1"/>
    <col min="14" max="14" width="8.85546875" customWidth="1"/>
  </cols>
  <sheetData>
    <row r="2" spans="2:11" ht="15.75" x14ac:dyDescent="0.25">
      <c r="B2" t="s">
        <v>0</v>
      </c>
      <c r="C2" s="32" t="s">
        <v>16</v>
      </c>
      <c r="E2" s="46"/>
      <c r="F2" s="46"/>
    </row>
    <row r="3" spans="2:11" ht="15.75" x14ac:dyDescent="0.25">
      <c r="B3" s="1" t="s">
        <v>1</v>
      </c>
      <c r="C3" s="32" t="s">
        <v>49</v>
      </c>
      <c r="E3" s="46"/>
      <c r="F3" s="46"/>
    </row>
    <row r="4" spans="2:11" ht="15.75" x14ac:dyDescent="0.25">
      <c r="B4" t="s">
        <v>2</v>
      </c>
      <c r="C4" s="33">
        <v>46050</v>
      </c>
      <c r="E4" s="46"/>
      <c r="F4" s="46"/>
    </row>
    <row r="5" spans="2:11" ht="15.75" x14ac:dyDescent="0.25">
      <c r="B5" t="s">
        <v>3</v>
      </c>
      <c r="C5" s="32" t="s">
        <v>50</v>
      </c>
      <c r="E5" s="46"/>
      <c r="F5" s="46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B12" t="s">
        <v>77</v>
      </c>
      <c r="C12" t="s">
        <v>105</v>
      </c>
      <c r="D12">
        <v>20</v>
      </c>
      <c r="F12" t="s">
        <v>77</v>
      </c>
      <c r="G12" t="s">
        <v>84</v>
      </c>
      <c r="H12">
        <v>20</v>
      </c>
      <c r="J12" t="str" cm="1">
        <f t="array" ref="J12:J18">_xlfn._xlws.SORT(_xlfn.UNIQUE(Print_Table9468121416182022[Author]))</f>
        <v>Brian, Steeper</v>
      </c>
      <c r="K12" s="2" cm="1">
        <f t="array" ref="K12:K18">SUMIF(Print_Table9468121416182022[Author],_xlfn.ANCHORARRAY(J12),Print_Table9468121416182022[Score])</f>
        <v>51</v>
      </c>
    </row>
    <row r="13" spans="2:11" x14ac:dyDescent="0.25">
      <c r="B13" t="s">
        <v>77</v>
      </c>
      <c r="C13" t="s">
        <v>111</v>
      </c>
      <c r="D13">
        <v>19</v>
      </c>
      <c r="F13" t="s">
        <v>79</v>
      </c>
      <c r="G13" t="s">
        <v>86</v>
      </c>
      <c r="H13">
        <v>19</v>
      </c>
      <c r="J13" t="str">
        <v>David, Smith</v>
      </c>
      <c r="K13" s="2">
        <v>50</v>
      </c>
    </row>
    <row r="14" spans="2:11" x14ac:dyDescent="0.25">
      <c r="B14" t="s">
        <v>81</v>
      </c>
      <c r="C14" t="s">
        <v>104</v>
      </c>
      <c r="D14">
        <v>18</v>
      </c>
      <c r="F14" t="s">
        <v>77</v>
      </c>
      <c r="G14" t="s">
        <v>98</v>
      </c>
      <c r="H14">
        <v>19</v>
      </c>
      <c r="J14" t="str">
        <v>Julie, Smith</v>
      </c>
      <c r="K14" s="2">
        <v>51</v>
      </c>
    </row>
    <row r="15" spans="2:11" x14ac:dyDescent="0.25">
      <c r="B15" t="s">
        <v>79</v>
      </c>
      <c r="C15" t="s">
        <v>119</v>
      </c>
      <c r="D15">
        <v>18</v>
      </c>
      <c r="F15" t="s">
        <v>79</v>
      </c>
      <c r="G15" t="s">
        <v>100</v>
      </c>
      <c r="H15">
        <v>19</v>
      </c>
      <c r="J15" t="str">
        <v>Kev, Richardson</v>
      </c>
      <c r="K15" s="2">
        <v>48</v>
      </c>
    </row>
    <row r="16" spans="2:11" x14ac:dyDescent="0.25">
      <c r="B16" t="s">
        <v>80</v>
      </c>
      <c r="C16" t="s">
        <v>106</v>
      </c>
      <c r="D16">
        <v>17</v>
      </c>
      <c r="F16" t="s">
        <v>76</v>
      </c>
      <c r="G16" t="s">
        <v>83</v>
      </c>
      <c r="H16">
        <v>18</v>
      </c>
      <c r="J16" t="str">
        <v>Paula, Major</v>
      </c>
      <c r="K16" s="2">
        <v>55</v>
      </c>
    </row>
    <row r="17" spans="2:14" x14ac:dyDescent="0.25">
      <c r="B17" t="s">
        <v>79</v>
      </c>
      <c r="C17" t="s">
        <v>107</v>
      </c>
      <c r="D17">
        <v>17</v>
      </c>
      <c r="F17" t="s">
        <v>78</v>
      </c>
      <c r="G17" t="s">
        <v>85</v>
      </c>
      <c r="H17">
        <v>18</v>
      </c>
      <c r="J17" t="str">
        <v>Steve, Blades</v>
      </c>
      <c r="K17" s="2">
        <v>46</v>
      </c>
    </row>
    <row r="18" spans="2:14" x14ac:dyDescent="0.25">
      <c r="B18" t="s">
        <v>81</v>
      </c>
      <c r="C18" t="s">
        <v>110</v>
      </c>
      <c r="D18">
        <v>17</v>
      </c>
      <c r="F18" t="s">
        <v>77</v>
      </c>
      <c r="G18" t="s">
        <v>91</v>
      </c>
      <c r="H18">
        <v>18</v>
      </c>
      <c r="J18">
        <v>0</v>
      </c>
      <c r="K18" s="2">
        <v>0</v>
      </c>
    </row>
    <row r="19" spans="2:14" x14ac:dyDescent="0.25">
      <c r="B19" t="s">
        <v>80</v>
      </c>
      <c r="C19" t="s">
        <v>112</v>
      </c>
      <c r="D19">
        <v>17</v>
      </c>
      <c r="F19" t="s">
        <v>80</v>
      </c>
      <c r="G19" t="s">
        <v>94</v>
      </c>
      <c r="H19">
        <v>18</v>
      </c>
    </row>
    <row r="20" spans="2:14" x14ac:dyDescent="0.25">
      <c r="B20" t="s">
        <v>78</v>
      </c>
      <c r="C20" t="s">
        <v>114</v>
      </c>
      <c r="D20">
        <v>17</v>
      </c>
      <c r="F20" t="s">
        <v>82</v>
      </c>
      <c r="G20" t="s">
        <v>96</v>
      </c>
      <c r="H20">
        <v>18</v>
      </c>
      <c r="M20" s="6" t="s">
        <v>10</v>
      </c>
      <c r="N20" s="11" t="s">
        <v>8</v>
      </c>
    </row>
    <row r="21" spans="2:14" x14ac:dyDescent="0.25">
      <c r="B21" t="s">
        <v>78</v>
      </c>
      <c r="C21" t="s">
        <v>108</v>
      </c>
      <c r="D21">
        <v>16</v>
      </c>
      <c r="F21" t="s">
        <v>81</v>
      </c>
      <c r="G21" t="s">
        <v>102</v>
      </c>
      <c r="H21">
        <v>18</v>
      </c>
      <c r="M21" t="s">
        <v>81</v>
      </c>
      <c r="N21">
        <v>101</v>
      </c>
    </row>
    <row r="22" spans="2:14" x14ac:dyDescent="0.25">
      <c r="B22" t="s">
        <v>79</v>
      </c>
      <c r="C22" t="s">
        <v>113</v>
      </c>
      <c r="D22">
        <v>16</v>
      </c>
      <c r="F22" t="s">
        <v>82</v>
      </c>
      <c r="G22" t="s">
        <v>89</v>
      </c>
      <c r="H22">
        <v>17</v>
      </c>
      <c r="M22" t="s">
        <v>80</v>
      </c>
      <c r="N22">
        <v>101</v>
      </c>
    </row>
    <row r="23" spans="2:14" x14ac:dyDescent="0.25">
      <c r="B23" t="s">
        <v>76</v>
      </c>
      <c r="C23" t="s">
        <v>115</v>
      </c>
      <c r="D23">
        <v>16</v>
      </c>
      <c r="F23" t="s">
        <v>76</v>
      </c>
      <c r="G23" t="s">
        <v>90</v>
      </c>
      <c r="H23">
        <v>17</v>
      </c>
      <c r="M23" t="s">
        <v>79</v>
      </c>
      <c r="N23">
        <v>106</v>
      </c>
    </row>
    <row r="24" spans="2:14" x14ac:dyDescent="0.25">
      <c r="B24" t="s">
        <v>81</v>
      </c>
      <c r="C24" t="s">
        <v>116</v>
      </c>
      <c r="D24">
        <v>16</v>
      </c>
      <c r="F24" t="s">
        <v>79</v>
      </c>
      <c r="G24" t="s">
        <v>93</v>
      </c>
      <c r="H24">
        <v>17</v>
      </c>
      <c r="M24" t="s">
        <v>78</v>
      </c>
      <c r="N24">
        <v>98</v>
      </c>
    </row>
    <row r="25" spans="2:14" x14ac:dyDescent="0.25">
      <c r="B25" t="s">
        <v>77</v>
      </c>
      <c r="C25" t="s">
        <v>117</v>
      </c>
      <c r="D25">
        <v>16</v>
      </c>
      <c r="F25" t="s">
        <v>80</v>
      </c>
      <c r="G25" t="s">
        <v>101</v>
      </c>
      <c r="H25">
        <v>17</v>
      </c>
      <c r="M25" t="s">
        <v>77</v>
      </c>
      <c r="N25">
        <v>112</v>
      </c>
    </row>
    <row r="26" spans="2:14" x14ac:dyDescent="0.25">
      <c r="B26" t="s">
        <v>80</v>
      </c>
      <c r="C26" t="s">
        <v>118</v>
      </c>
      <c r="D26">
        <v>16</v>
      </c>
      <c r="F26" t="s">
        <v>82</v>
      </c>
      <c r="G26" t="s">
        <v>103</v>
      </c>
      <c r="H26">
        <v>17</v>
      </c>
      <c r="M26" t="s">
        <v>82</v>
      </c>
      <c r="N26">
        <v>52</v>
      </c>
    </row>
    <row r="27" spans="2:14" x14ac:dyDescent="0.25">
      <c r="B27" t="s">
        <v>76</v>
      </c>
      <c r="C27" t="s">
        <v>109</v>
      </c>
      <c r="D27">
        <v>15</v>
      </c>
      <c r="F27" t="s">
        <v>80</v>
      </c>
      <c r="G27" t="s">
        <v>87</v>
      </c>
      <c r="H27">
        <v>16</v>
      </c>
      <c r="M27" t="s">
        <v>76</v>
      </c>
      <c r="N27">
        <v>97</v>
      </c>
    </row>
    <row r="28" spans="2:14" x14ac:dyDescent="0.25">
      <c r="B28" t="s">
        <v>78</v>
      </c>
      <c r="C28" t="s">
        <v>120</v>
      </c>
      <c r="D28">
        <v>15</v>
      </c>
      <c r="F28" t="s">
        <v>81</v>
      </c>
      <c r="G28" t="s">
        <v>88</v>
      </c>
      <c r="H28">
        <v>16</v>
      </c>
    </row>
    <row r="29" spans="2:14" x14ac:dyDescent="0.25">
      <c r="B29" t="s">
        <v>76</v>
      </c>
      <c r="C29" t="s">
        <v>121</v>
      </c>
      <c r="D29">
        <v>15</v>
      </c>
      <c r="F29" t="s">
        <v>78</v>
      </c>
      <c r="G29" t="s">
        <v>92</v>
      </c>
      <c r="H29">
        <v>16</v>
      </c>
    </row>
    <row r="30" spans="2:14" x14ac:dyDescent="0.25">
      <c r="F30" t="s">
        <v>81</v>
      </c>
      <c r="G30" t="s">
        <v>95</v>
      </c>
      <c r="H30">
        <v>16</v>
      </c>
    </row>
    <row r="31" spans="2:14" x14ac:dyDescent="0.25">
      <c r="F31" t="s">
        <v>76</v>
      </c>
      <c r="G31" t="s">
        <v>97</v>
      </c>
      <c r="H31">
        <v>16</v>
      </c>
    </row>
    <row r="32" spans="2:14" x14ac:dyDescent="0.25">
      <c r="F32" t="s">
        <v>78</v>
      </c>
      <c r="G32" t="s">
        <v>99</v>
      </c>
      <c r="H32">
        <v>16</v>
      </c>
      <c r="J32" s="7" t="s">
        <v>11</v>
      </c>
      <c r="K32" s="8" t="s">
        <v>9</v>
      </c>
    </row>
    <row r="33" spans="10:11" x14ac:dyDescent="0.25">
      <c r="J33" t="str" cm="1">
        <f t="array" ref="J33:J40">_xlfn._xlws.SORT(_xlfn.UNIQUE(Digital_Table11579131517192123[Author]))</f>
        <v>Brian, Steeper</v>
      </c>
      <c r="K33" s="2" cm="1">
        <f t="array" ref="K33:K40">SUMIF(Digital_Table11579131517192123[Author],_xlfn.ANCHORARRAY(J33),Digital_Table11579131517192123[Score])</f>
        <v>50</v>
      </c>
    </row>
    <row r="34" spans="10:11" x14ac:dyDescent="0.25">
      <c r="J34" t="str">
        <v>David, Smith</v>
      </c>
      <c r="K34" s="2">
        <v>51</v>
      </c>
    </row>
    <row r="35" spans="10:11" x14ac:dyDescent="0.25">
      <c r="J35" t="str">
        <v>Julie, Smith</v>
      </c>
      <c r="K35" s="2">
        <v>55</v>
      </c>
    </row>
    <row r="36" spans="10:11" x14ac:dyDescent="0.25">
      <c r="J36" t="str">
        <v>Kev, Richardson</v>
      </c>
      <c r="K36" s="2">
        <v>50</v>
      </c>
    </row>
    <row r="37" spans="10:11" x14ac:dyDescent="0.25">
      <c r="J37" t="str">
        <v>Paula, Major</v>
      </c>
      <c r="K37" s="2">
        <v>57</v>
      </c>
    </row>
    <row r="38" spans="10:11" x14ac:dyDescent="0.25">
      <c r="J38" t="str">
        <v>Robert, Musgrove</v>
      </c>
      <c r="K38" s="2">
        <v>52</v>
      </c>
    </row>
    <row r="39" spans="10:11" x14ac:dyDescent="0.25">
      <c r="J39" t="str">
        <v>Steve, Blades</v>
      </c>
      <c r="K39" s="2">
        <v>51</v>
      </c>
    </row>
    <row r="40" spans="10:11" x14ac:dyDescent="0.25">
      <c r="J40">
        <v>0</v>
      </c>
      <c r="K40" s="2">
        <v>0</v>
      </c>
    </row>
  </sheetData>
  <sortState xmlns:xlrd2="http://schemas.microsoft.com/office/spreadsheetml/2017/richdata2" ref="M21:O30">
    <sortCondition ref="M21:M30"/>
  </sortState>
  <dataConsolidate>
    <dataRefs count="2">
      <dataRef ref="J12:K17" sheet="January"/>
      <dataRef ref="J33:K39" sheet="January"/>
    </dataRefs>
  </dataConsolidate>
  <mergeCells count="6">
    <mergeCell ref="B10:D10"/>
    <mergeCell ref="F10:H10"/>
    <mergeCell ref="E2:F2"/>
    <mergeCell ref="E3:F3"/>
    <mergeCell ref="E4:F4"/>
    <mergeCell ref="E5:F5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19262-1B54-4F98-84EC-CB9CF47A4883}">
  <dimension ref="B2:N41"/>
  <sheetViews>
    <sheetView topLeftCell="A11" workbookViewId="0">
      <selection activeCell="J32" activeCellId="1" sqref="J11:K20 J32:K41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8.28515625" customWidth="1"/>
    <col min="7" max="7" width="32.7109375" bestFit="1" customWidth="1"/>
    <col min="8" max="8" width="11.28515625" customWidth="1"/>
    <col min="10" max="10" width="17" bestFit="1" customWidth="1"/>
    <col min="11" max="11" width="9.140625" style="2"/>
    <col min="13" max="13" width="18.28515625" customWidth="1"/>
  </cols>
  <sheetData>
    <row r="2" spans="2:11" x14ac:dyDescent="0.25">
      <c r="B2" t="s">
        <v>0</v>
      </c>
      <c r="C2" s="9" t="s">
        <v>51</v>
      </c>
      <c r="E2" s="1"/>
      <c r="F2" s="1"/>
    </row>
    <row r="3" spans="2:11" x14ac:dyDescent="0.25">
      <c r="B3" s="1" t="s">
        <v>1</v>
      </c>
      <c r="C3" s="9" t="s">
        <v>52</v>
      </c>
      <c r="E3" s="1"/>
      <c r="F3" s="1"/>
    </row>
    <row r="4" spans="2:11" x14ac:dyDescent="0.25">
      <c r="B4" t="s">
        <v>2</v>
      </c>
      <c r="C4" s="10">
        <v>46078</v>
      </c>
      <c r="E4" s="1"/>
      <c r="F4" s="1"/>
    </row>
    <row r="5" spans="2:11" x14ac:dyDescent="0.25">
      <c r="B5" t="s">
        <v>3</v>
      </c>
      <c r="C5" s="9" t="s">
        <v>53</v>
      </c>
      <c r="E5" s="1"/>
      <c r="F5" s="1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B12" t="s">
        <v>122</v>
      </c>
      <c r="C12" t="s">
        <v>144</v>
      </c>
      <c r="D12">
        <v>20</v>
      </c>
      <c r="F12" t="s">
        <v>44</v>
      </c>
      <c r="G12" t="s">
        <v>174</v>
      </c>
      <c r="H12">
        <v>20</v>
      </c>
      <c r="J12" t="str" cm="1">
        <f t="array" ref="J12:J20">_xlfn._xlws.SORT(_xlfn.UNIQUE(Print_Table94681214161820[Author]))</f>
        <v>Brian Steeper</v>
      </c>
      <c r="K12" s="2" cm="1">
        <f t="array" ref="K12:K20">SUMIF(Print_Table94681214161820[Author],_xlfn.ANCHORARRAY(J12),Print_Table94681214161820[Score])</f>
        <v>47</v>
      </c>
    </row>
    <row r="13" spans="2:11" x14ac:dyDescent="0.25">
      <c r="B13" t="s">
        <v>123</v>
      </c>
      <c r="C13" t="s">
        <v>142</v>
      </c>
      <c r="D13">
        <v>19</v>
      </c>
      <c r="F13" t="s">
        <v>41</v>
      </c>
      <c r="G13" t="s">
        <v>153</v>
      </c>
      <c r="H13">
        <v>19</v>
      </c>
      <c r="J13" t="str">
        <v>Dave Smith</v>
      </c>
      <c r="K13" s="2">
        <v>52</v>
      </c>
    </row>
    <row r="14" spans="2:11" x14ac:dyDescent="0.25">
      <c r="B14" t="s">
        <v>48</v>
      </c>
      <c r="C14" t="s">
        <v>125</v>
      </c>
      <c r="D14">
        <v>18</v>
      </c>
      <c r="F14" t="s">
        <v>123</v>
      </c>
      <c r="G14" t="s">
        <v>160</v>
      </c>
      <c r="H14">
        <v>19</v>
      </c>
      <c r="J14" t="str">
        <v>Gail Wrigg</v>
      </c>
      <c r="K14" s="2">
        <v>45</v>
      </c>
    </row>
    <row r="15" spans="2:11" x14ac:dyDescent="0.25">
      <c r="B15" t="s">
        <v>41</v>
      </c>
      <c r="C15" t="s">
        <v>127</v>
      </c>
      <c r="D15">
        <v>18</v>
      </c>
      <c r="F15" t="s">
        <v>122</v>
      </c>
      <c r="G15" t="s">
        <v>161</v>
      </c>
      <c r="H15">
        <v>19</v>
      </c>
      <c r="J15" t="str">
        <v>Julie Smith</v>
      </c>
      <c r="K15" s="2">
        <v>51</v>
      </c>
    </row>
    <row r="16" spans="2:11" x14ac:dyDescent="0.25">
      <c r="B16" t="s">
        <v>123</v>
      </c>
      <c r="C16" t="s">
        <v>126</v>
      </c>
      <c r="D16">
        <v>17</v>
      </c>
      <c r="F16" t="s">
        <v>33</v>
      </c>
      <c r="G16" t="s">
        <v>163</v>
      </c>
      <c r="H16">
        <v>18</v>
      </c>
      <c r="J16" t="str">
        <v>Kevin Richardson</v>
      </c>
      <c r="K16" s="2">
        <v>53</v>
      </c>
    </row>
    <row r="17" spans="2:14" x14ac:dyDescent="0.25">
      <c r="B17" t="s">
        <v>44</v>
      </c>
      <c r="C17" t="s">
        <v>129</v>
      </c>
      <c r="D17">
        <v>17</v>
      </c>
      <c r="F17" t="s">
        <v>40</v>
      </c>
      <c r="G17" t="s">
        <v>166</v>
      </c>
      <c r="H17">
        <v>18</v>
      </c>
      <c r="J17" t="str">
        <v>Martyn Wrigg</v>
      </c>
      <c r="K17" s="2">
        <v>48</v>
      </c>
    </row>
    <row r="18" spans="2:14" x14ac:dyDescent="0.25">
      <c r="B18" t="s">
        <v>48</v>
      </c>
      <c r="C18" t="s">
        <v>133</v>
      </c>
      <c r="D18">
        <v>17</v>
      </c>
      <c r="F18" t="s">
        <v>41</v>
      </c>
      <c r="G18" t="s">
        <v>171</v>
      </c>
      <c r="H18">
        <v>18</v>
      </c>
      <c r="J18" t="str">
        <v>Paula Major</v>
      </c>
      <c r="K18" s="2">
        <v>50</v>
      </c>
    </row>
    <row r="19" spans="2:14" x14ac:dyDescent="0.25">
      <c r="B19" t="s">
        <v>123</v>
      </c>
      <c r="C19" t="s">
        <v>134</v>
      </c>
      <c r="D19">
        <v>17</v>
      </c>
      <c r="F19" t="s">
        <v>43</v>
      </c>
      <c r="G19" t="s">
        <v>173</v>
      </c>
      <c r="H19">
        <v>18</v>
      </c>
      <c r="J19" t="str">
        <v>Steve Blades</v>
      </c>
      <c r="K19" s="2">
        <v>49</v>
      </c>
    </row>
    <row r="20" spans="2:14" x14ac:dyDescent="0.25">
      <c r="B20" t="s">
        <v>44</v>
      </c>
      <c r="C20" t="s">
        <v>137</v>
      </c>
      <c r="D20">
        <v>17</v>
      </c>
      <c r="F20" t="s">
        <v>48</v>
      </c>
      <c r="G20" t="s">
        <v>150</v>
      </c>
      <c r="H20">
        <v>17</v>
      </c>
      <c r="J20">
        <v>0</v>
      </c>
      <c r="K20" s="2">
        <v>0</v>
      </c>
      <c r="M20" s="11" t="s">
        <v>10</v>
      </c>
      <c r="N20" s="6" t="s">
        <v>8</v>
      </c>
    </row>
    <row r="21" spans="2:14" x14ac:dyDescent="0.25">
      <c r="B21" t="s">
        <v>33</v>
      </c>
      <c r="C21" t="s">
        <v>138</v>
      </c>
      <c r="D21">
        <v>17</v>
      </c>
      <c r="F21" t="s">
        <v>44</v>
      </c>
      <c r="G21" t="s">
        <v>156</v>
      </c>
      <c r="H21">
        <v>17</v>
      </c>
      <c r="M21" t="s">
        <v>33</v>
      </c>
      <c r="N21">
        <v>97</v>
      </c>
    </row>
    <row r="22" spans="2:14" x14ac:dyDescent="0.25">
      <c r="B22" t="s">
        <v>48</v>
      </c>
      <c r="C22" t="s">
        <v>141</v>
      </c>
      <c r="D22">
        <v>17</v>
      </c>
      <c r="F22" t="s">
        <v>48</v>
      </c>
      <c r="G22" t="s">
        <v>159</v>
      </c>
      <c r="H22">
        <v>17</v>
      </c>
      <c r="M22" t="s">
        <v>48</v>
      </c>
      <c r="N22">
        <v>103</v>
      </c>
    </row>
    <row r="23" spans="2:14" x14ac:dyDescent="0.25">
      <c r="B23" t="s">
        <v>40</v>
      </c>
      <c r="C23" t="s">
        <v>147</v>
      </c>
      <c r="D23">
        <v>17</v>
      </c>
      <c r="F23" t="s">
        <v>41</v>
      </c>
      <c r="G23" t="s">
        <v>162</v>
      </c>
      <c r="H23">
        <v>17</v>
      </c>
      <c r="M23" t="s">
        <v>36</v>
      </c>
      <c r="N23">
        <v>92</v>
      </c>
    </row>
    <row r="24" spans="2:14" x14ac:dyDescent="0.25">
      <c r="B24" t="s">
        <v>41</v>
      </c>
      <c r="C24" t="s">
        <v>135</v>
      </c>
      <c r="D24">
        <v>16</v>
      </c>
      <c r="F24" t="s">
        <v>43</v>
      </c>
      <c r="G24" t="s">
        <v>164</v>
      </c>
      <c r="H24">
        <v>17</v>
      </c>
      <c r="M24" t="s">
        <v>122</v>
      </c>
      <c r="N24">
        <v>102</v>
      </c>
    </row>
    <row r="25" spans="2:14" x14ac:dyDescent="0.25">
      <c r="B25" t="s">
        <v>122</v>
      </c>
      <c r="C25" t="s">
        <v>136</v>
      </c>
      <c r="D25">
        <v>16</v>
      </c>
      <c r="F25" t="s">
        <v>48</v>
      </c>
      <c r="G25" t="s">
        <v>168</v>
      </c>
      <c r="H25">
        <v>17</v>
      </c>
      <c r="M25" t="s">
        <v>123</v>
      </c>
      <c r="N25">
        <v>105</v>
      </c>
    </row>
    <row r="26" spans="2:14" x14ac:dyDescent="0.25">
      <c r="B26" t="s">
        <v>40</v>
      </c>
      <c r="C26" t="s">
        <v>139</v>
      </c>
      <c r="D26">
        <v>16</v>
      </c>
      <c r="F26" t="s">
        <v>123</v>
      </c>
      <c r="G26" t="s">
        <v>169</v>
      </c>
      <c r="H26">
        <v>17</v>
      </c>
      <c r="M26" t="s">
        <v>40</v>
      </c>
      <c r="N26">
        <v>96</v>
      </c>
    </row>
    <row r="27" spans="2:14" x14ac:dyDescent="0.25">
      <c r="B27" t="s">
        <v>41</v>
      </c>
      <c r="C27" t="s">
        <v>143</v>
      </c>
      <c r="D27">
        <v>16</v>
      </c>
      <c r="F27" t="s">
        <v>122</v>
      </c>
      <c r="G27" t="s">
        <v>170</v>
      </c>
      <c r="H27">
        <v>17</v>
      </c>
      <c r="M27" t="s">
        <v>41</v>
      </c>
      <c r="N27">
        <v>104</v>
      </c>
    </row>
    <row r="28" spans="2:14" x14ac:dyDescent="0.25">
      <c r="B28" t="s">
        <v>36</v>
      </c>
      <c r="C28" t="s">
        <v>124</v>
      </c>
      <c r="D28">
        <v>15</v>
      </c>
      <c r="F28" t="s">
        <v>123</v>
      </c>
      <c r="G28" t="s">
        <v>151</v>
      </c>
      <c r="H28">
        <v>16</v>
      </c>
      <c r="M28" t="s">
        <v>43</v>
      </c>
      <c r="N28">
        <v>51</v>
      </c>
    </row>
    <row r="29" spans="2:14" x14ac:dyDescent="0.25">
      <c r="B29" t="s">
        <v>122</v>
      </c>
      <c r="C29" t="s">
        <v>128</v>
      </c>
      <c r="D29">
        <v>15</v>
      </c>
      <c r="F29" t="s">
        <v>33</v>
      </c>
      <c r="G29" t="s">
        <v>154</v>
      </c>
      <c r="H29">
        <v>16</v>
      </c>
      <c r="M29" t="s">
        <v>44</v>
      </c>
      <c r="N29">
        <v>102</v>
      </c>
    </row>
    <row r="30" spans="2:14" x14ac:dyDescent="0.25">
      <c r="B30" t="s">
        <v>33</v>
      </c>
      <c r="C30" t="s">
        <v>130</v>
      </c>
      <c r="D30">
        <v>15</v>
      </c>
      <c r="F30" t="s">
        <v>43</v>
      </c>
      <c r="G30" t="s">
        <v>155</v>
      </c>
      <c r="H30">
        <v>16</v>
      </c>
    </row>
    <row r="31" spans="2:14" x14ac:dyDescent="0.25">
      <c r="B31" t="s">
        <v>40</v>
      </c>
      <c r="C31" t="s">
        <v>131</v>
      </c>
      <c r="D31">
        <v>15</v>
      </c>
      <c r="F31" t="s">
        <v>36</v>
      </c>
      <c r="G31" t="s">
        <v>158</v>
      </c>
      <c r="H31">
        <v>16</v>
      </c>
    </row>
    <row r="32" spans="2:14" x14ac:dyDescent="0.25">
      <c r="B32" t="s">
        <v>36</v>
      </c>
      <c r="C32" t="s">
        <v>132</v>
      </c>
      <c r="D32">
        <v>15</v>
      </c>
      <c r="F32" t="s">
        <v>44</v>
      </c>
      <c r="G32" t="s">
        <v>165</v>
      </c>
      <c r="H32">
        <v>16</v>
      </c>
      <c r="J32" s="7" t="s">
        <v>11</v>
      </c>
      <c r="K32" s="8" t="s">
        <v>9</v>
      </c>
    </row>
    <row r="33" spans="2:11" x14ac:dyDescent="0.25">
      <c r="B33" t="s">
        <v>36</v>
      </c>
      <c r="C33" t="s">
        <v>140</v>
      </c>
      <c r="D33">
        <v>15</v>
      </c>
      <c r="F33" t="s">
        <v>36</v>
      </c>
      <c r="G33" t="s">
        <v>167</v>
      </c>
      <c r="H33">
        <v>16</v>
      </c>
      <c r="J33" t="str" cm="1">
        <f t="array" ref="J33:J41">_xlfn._xlws.SORT(_xlfn.UNIQUE(Digital_Table115791315171921[Author]))</f>
        <v>Brian Steeper</v>
      </c>
      <c r="K33" s="2" cm="1">
        <f t="array" ref="K33:K41">SUMIF(Digital_Table115791315171921[Author],_xlfn.ANCHORARRAY(J33),Digital_Table115791315171921[Score])</f>
        <v>50</v>
      </c>
    </row>
    <row r="34" spans="2:11" x14ac:dyDescent="0.25">
      <c r="B34" t="s">
        <v>44</v>
      </c>
      <c r="C34" t="s">
        <v>145</v>
      </c>
      <c r="D34">
        <v>15</v>
      </c>
      <c r="F34" t="s">
        <v>33</v>
      </c>
      <c r="G34" t="s">
        <v>172</v>
      </c>
      <c r="H34">
        <v>16</v>
      </c>
      <c r="J34" t="str">
        <v>Dave Smith</v>
      </c>
      <c r="K34" s="2">
        <v>51</v>
      </c>
    </row>
    <row r="35" spans="2:11" x14ac:dyDescent="0.25">
      <c r="B35" t="s">
        <v>33</v>
      </c>
      <c r="C35" t="s">
        <v>146</v>
      </c>
      <c r="D35">
        <v>15</v>
      </c>
      <c r="F35" t="s">
        <v>40</v>
      </c>
      <c r="G35" t="s">
        <v>148</v>
      </c>
      <c r="H35">
        <v>15</v>
      </c>
      <c r="J35" t="str">
        <v>Gail Wrigg</v>
      </c>
      <c r="K35" s="2">
        <v>47</v>
      </c>
    </row>
    <row r="36" spans="2:11" x14ac:dyDescent="0.25">
      <c r="F36" t="s">
        <v>36</v>
      </c>
      <c r="G36" t="s">
        <v>149</v>
      </c>
      <c r="H36">
        <v>15</v>
      </c>
      <c r="J36" t="str">
        <v>Julie Smith</v>
      </c>
      <c r="K36" s="2">
        <v>51</v>
      </c>
    </row>
    <row r="37" spans="2:11" x14ac:dyDescent="0.25">
      <c r="F37" t="s">
        <v>122</v>
      </c>
      <c r="G37" t="s">
        <v>152</v>
      </c>
      <c r="H37">
        <v>15</v>
      </c>
      <c r="J37" t="str">
        <v>Kevin Richardson</v>
      </c>
      <c r="K37" s="2">
        <v>52</v>
      </c>
    </row>
    <row r="38" spans="2:11" x14ac:dyDescent="0.25">
      <c r="F38" t="s">
        <v>40</v>
      </c>
      <c r="G38" t="s">
        <v>157</v>
      </c>
      <c r="H38">
        <v>15</v>
      </c>
      <c r="J38" t="str">
        <v>Martyn Wrigg</v>
      </c>
      <c r="K38" s="2">
        <v>48</v>
      </c>
    </row>
    <row r="39" spans="2:11" x14ac:dyDescent="0.25">
      <c r="J39" t="str">
        <v>Paula Major</v>
      </c>
      <c r="K39" s="2">
        <v>54</v>
      </c>
    </row>
    <row r="40" spans="2:11" x14ac:dyDescent="0.25">
      <c r="J40" t="str">
        <v>Robert Musgrove</v>
      </c>
      <c r="K40" s="2">
        <v>51</v>
      </c>
    </row>
    <row r="41" spans="2:11" x14ac:dyDescent="0.25">
      <c r="J41" t="str">
        <v>Steve Blades</v>
      </c>
      <c r="K41" s="2">
        <v>53</v>
      </c>
    </row>
  </sheetData>
  <dataConsolidate>
    <dataRefs count="2">
      <dataRef ref="J12:K19" sheet="February"/>
      <dataRef ref="J33:K41" sheet="February"/>
    </dataRefs>
  </dataConsolidate>
  <mergeCells count="2">
    <mergeCell ref="B10:D10"/>
    <mergeCell ref="F10:H10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8890F-DA79-4F75-8FC7-59EB1E837F1D}">
  <dimension ref="B2:N41"/>
  <sheetViews>
    <sheetView topLeftCell="A11" workbookViewId="0">
      <selection activeCell="J32" activeCellId="1" sqref="J11:K19 J32:K41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4.7109375" bestFit="1" customWidth="1"/>
    <col min="7" max="7" width="32.7109375" bestFit="1" customWidth="1"/>
    <col min="8" max="8" width="11.28515625" customWidth="1"/>
    <col min="10" max="10" width="17" bestFit="1" customWidth="1"/>
    <col min="11" max="11" width="9.140625" style="2"/>
    <col min="13" max="13" width="18.28515625" customWidth="1"/>
  </cols>
  <sheetData>
    <row r="2" spans="2:11" x14ac:dyDescent="0.25">
      <c r="B2" t="s">
        <v>0</v>
      </c>
      <c r="C2" s="9" t="s">
        <v>54</v>
      </c>
      <c r="E2" s="46"/>
      <c r="F2" s="46"/>
    </row>
    <row r="3" spans="2:11" x14ac:dyDescent="0.25">
      <c r="B3" s="1" t="s">
        <v>1</v>
      </c>
      <c r="C3" s="9" t="s">
        <v>55</v>
      </c>
      <c r="E3" s="46"/>
      <c r="F3" s="46"/>
    </row>
    <row r="4" spans="2:11" x14ac:dyDescent="0.25">
      <c r="B4" t="s">
        <v>2</v>
      </c>
      <c r="C4" s="10">
        <v>46106</v>
      </c>
      <c r="E4" s="46"/>
      <c r="F4" s="46"/>
    </row>
    <row r="5" spans="2:11" x14ac:dyDescent="0.25">
      <c r="B5" t="s">
        <v>3</v>
      </c>
      <c r="C5" s="9" t="s">
        <v>56</v>
      </c>
      <c r="E5" s="46"/>
      <c r="F5" s="46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B12" t="s">
        <v>33</v>
      </c>
      <c r="C12" t="s">
        <v>186</v>
      </c>
      <c r="D12">
        <v>20</v>
      </c>
      <c r="F12" t="s">
        <v>122</v>
      </c>
      <c r="G12" t="s">
        <v>220</v>
      </c>
      <c r="H12">
        <v>20</v>
      </c>
      <c r="J12" t="str" cm="1">
        <f t="array" ref="J12:J20">_xlfn._xlws.SORT(_xlfn.UNIQUE(Print_Table946812141618[Author]))</f>
        <v>Brian Steeper</v>
      </c>
      <c r="K12" s="2" cm="1">
        <f t="array" ref="K12:K20">SUMIF(Print_Table946812141618[Author],_xlfn.ANCHORARRAY(J12),Print_Table946812141618[Score])</f>
        <v>56</v>
      </c>
    </row>
    <row r="13" spans="2:11" x14ac:dyDescent="0.25">
      <c r="B13" t="s">
        <v>33</v>
      </c>
      <c r="C13" t="s">
        <v>178</v>
      </c>
      <c r="D13">
        <v>19</v>
      </c>
      <c r="F13" t="s">
        <v>122</v>
      </c>
      <c r="G13" t="s">
        <v>202</v>
      </c>
      <c r="H13">
        <v>19</v>
      </c>
      <c r="J13" t="str">
        <v>Dave Smith</v>
      </c>
      <c r="K13" s="2">
        <v>51</v>
      </c>
    </row>
    <row r="14" spans="2:11" x14ac:dyDescent="0.25">
      <c r="B14" t="s">
        <v>122</v>
      </c>
      <c r="C14" t="s">
        <v>199</v>
      </c>
      <c r="D14">
        <v>19</v>
      </c>
      <c r="F14" t="s">
        <v>41</v>
      </c>
      <c r="G14" t="s">
        <v>206</v>
      </c>
      <c r="H14">
        <v>19</v>
      </c>
      <c r="J14" t="str">
        <v>Gail Wrigg</v>
      </c>
      <c r="K14" s="2">
        <v>46</v>
      </c>
    </row>
    <row r="15" spans="2:11" x14ac:dyDescent="0.25">
      <c r="B15" t="s">
        <v>48</v>
      </c>
      <c r="C15" t="s">
        <v>182</v>
      </c>
      <c r="D15">
        <v>18</v>
      </c>
      <c r="F15" t="s">
        <v>33</v>
      </c>
      <c r="G15" t="s">
        <v>203</v>
      </c>
      <c r="H15">
        <v>18</v>
      </c>
      <c r="J15" t="str">
        <v>Julie Smith</v>
      </c>
      <c r="K15" s="2">
        <v>54</v>
      </c>
    </row>
    <row r="16" spans="2:11" x14ac:dyDescent="0.25">
      <c r="B16" t="s">
        <v>122</v>
      </c>
      <c r="C16" t="s">
        <v>191</v>
      </c>
      <c r="D16">
        <v>18</v>
      </c>
      <c r="F16" t="s">
        <v>122</v>
      </c>
      <c r="G16" t="s">
        <v>211</v>
      </c>
      <c r="H16">
        <v>18</v>
      </c>
      <c r="J16" t="str">
        <v>Kevin Richardson</v>
      </c>
      <c r="K16" s="2">
        <v>51</v>
      </c>
    </row>
    <row r="17" spans="2:14" x14ac:dyDescent="0.25">
      <c r="B17" t="s">
        <v>123</v>
      </c>
      <c r="C17" t="s">
        <v>197</v>
      </c>
      <c r="D17">
        <v>18</v>
      </c>
      <c r="F17" t="s">
        <v>41</v>
      </c>
      <c r="G17" t="s">
        <v>215</v>
      </c>
      <c r="H17">
        <v>18</v>
      </c>
      <c r="J17" t="str">
        <v>Martyn Wrigg</v>
      </c>
      <c r="K17" s="2">
        <v>46</v>
      </c>
    </row>
    <row r="18" spans="2:14" x14ac:dyDescent="0.25">
      <c r="B18" t="s">
        <v>44</v>
      </c>
      <c r="C18" t="s">
        <v>176</v>
      </c>
      <c r="D18">
        <v>17</v>
      </c>
      <c r="F18" t="s">
        <v>123</v>
      </c>
      <c r="G18" t="s">
        <v>222</v>
      </c>
      <c r="H18">
        <v>18</v>
      </c>
      <c r="J18" t="str">
        <v>Paula Major</v>
      </c>
      <c r="K18" s="2">
        <v>48</v>
      </c>
    </row>
    <row r="19" spans="2:14" x14ac:dyDescent="0.25">
      <c r="B19" t="s">
        <v>123</v>
      </c>
      <c r="C19" t="s">
        <v>181</v>
      </c>
      <c r="D19">
        <v>17</v>
      </c>
      <c r="F19" t="s">
        <v>41</v>
      </c>
      <c r="G19" t="s">
        <v>224</v>
      </c>
      <c r="H19">
        <v>18</v>
      </c>
      <c r="J19" t="str">
        <v>Steve Blades</v>
      </c>
      <c r="K19" s="2">
        <v>49</v>
      </c>
    </row>
    <row r="20" spans="2:14" x14ac:dyDescent="0.25">
      <c r="B20" t="s">
        <v>122</v>
      </c>
      <c r="C20" t="s">
        <v>183</v>
      </c>
      <c r="D20">
        <v>17</v>
      </c>
      <c r="F20" t="s">
        <v>43</v>
      </c>
      <c r="G20" t="s">
        <v>200</v>
      </c>
      <c r="H20">
        <v>17</v>
      </c>
      <c r="J20">
        <v>0</v>
      </c>
      <c r="K20" s="2">
        <v>0</v>
      </c>
      <c r="M20" s="11" t="s">
        <v>10</v>
      </c>
      <c r="N20" s="6" t="s">
        <v>8</v>
      </c>
    </row>
    <row r="21" spans="2:14" x14ac:dyDescent="0.25">
      <c r="B21" t="s">
        <v>41</v>
      </c>
      <c r="C21" t="s">
        <v>193</v>
      </c>
      <c r="D21">
        <v>17</v>
      </c>
      <c r="F21" t="s">
        <v>48</v>
      </c>
      <c r="G21" t="s">
        <v>208</v>
      </c>
      <c r="H21">
        <v>17</v>
      </c>
      <c r="M21" t="s">
        <v>33</v>
      </c>
      <c r="N21">
        <v>106</v>
      </c>
    </row>
    <row r="22" spans="2:14" x14ac:dyDescent="0.25">
      <c r="B22" t="s">
        <v>33</v>
      </c>
      <c r="C22" t="s">
        <v>194</v>
      </c>
      <c r="D22">
        <v>17</v>
      </c>
      <c r="F22" t="s">
        <v>44</v>
      </c>
      <c r="G22" t="s">
        <v>210</v>
      </c>
      <c r="H22">
        <v>17</v>
      </c>
      <c r="M22" t="s">
        <v>48</v>
      </c>
      <c r="N22">
        <v>102</v>
      </c>
    </row>
    <row r="23" spans="2:14" x14ac:dyDescent="0.25">
      <c r="B23" t="s">
        <v>48</v>
      </c>
      <c r="C23" t="s">
        <v>198</v>
      </c>
      <c r="D23">
        <v>17</v>
      </c>
      <c r="F23" t="s">
        <v>123</v>
      </c>
      <c r="G23" t="s">
        <v>213</v>
      </c>
      <c r="H23">
        <v>17</v>
      </c>
      <c r="M23" t="s">
        <v>36</v>
      </c>
      <c r="N23">
        <v>92</v>
      </c>
    </row>
    <row r="24" spans="2:14" x14ac:dyDescent="0.25">
      <c r="B24" t="s">
        <v>41</v>
      </c>
      <c r="C24" t="s">
        <v>177</v>
      </c>
      <c r="D24">
        <v>16</v>
      </c>
      <c r="F24" t="s">
        <v>40</v>
      </c>
      <c r="G24" t="s">
        <v>216</v>
      </c>
      <c r="H24">
        <v>17</v>
      </c>
      <c r="M24" t="s">
        <v>122</v>
      </c>
      <c r="N24">
        <v>111</v>
      </c>
    </row>
    <row r="25" spans="2:14" x14ac:dyDescent="0.25">
      <c r="B25" t="s">
        <v>44</v>
      </c>
      <c r="C25" t="s">
        <v>184</v>
      </c>
      <c r="D25">
        <v>16</v>
      </c>
      <c r="F25" t="s">
        <v>48</v>
      </c>
      <c r="G25" t="s">
        <v>217</v>
      </c>
      <c r="H25">
        <v>17</v>
      </c>
      <c r="M25" t="s">
        <v>123</v>
      </c>
      <c r="N25">
        <v>102</v>
      </c>
    </row>
    <row r="26" spans="2:14" x14ac:dyDescent="0.25">
      <c r="B26" t="s">
        <v>40</v>
      </c>
      <c r="C26" t="s">
        <v>187</v>
      </c>
      <c r="D26">
        <v>16</v>
      </c>
      <c r="F26" t="s">
        <v>43</v>
      </c>
      <c r="G26" t="s">
        <v>218</v>
      </c>
      <c r="H26">
        <v>17</v>
      </c>
      <c r="M26" t="s">
        <v>40</v>
      </c>
      <c r="N26">
        <v>92</v>
      </c>
    </row>
    <row r="27" spans="2:14" x14ac:dyDescent="0.25">
      <c r="B27" t="s">
        <v>36</v>
      </c>
      <c r="C27" t="s">
        <v>188</v>
      </c>
      <c r="D27">
        <v>16</v>
      </c>
      <c r="F27" t="s">
        <v>48</v>
      </c>
      <c r="G27" t="s">
        <v>226</v>
      </c>
      <c r="H27">
        <v>17</v>
      </c>
      <c r="M27" t="s">
        <v>41</v>
      </c>
      <c r="N27">
        <v>103</v>
      </c>
    </row>
    <row r="28" spans="2:14" x14ac:dyDescent="0.25">
      <c r="B28" t="s">
        <v>123</v>
      </c>
      <c r="C28" t="s">
        <v>189</v>
      </c>
      <c r="D28">
        <v>16</v>
      </c>
      <c r="F28" t="s">
        <v>123</v>
      </c>
      <c r="G28" t="s">
        <v>204</v>
      </c>
      <c r="H28">
        <v>16</v>
      </c>
      <c r="M28" t="s">
        <v>43</v>
      </c>
      <c r="N28">
        <v>50</v>
      </c>
    </row>
    <row r="29" spans="2:14" x14ac:dyDescent="0.25">
      <c r="B29" t="s">
        <v>48</v>
      </c>
      <c r="C29" t="s">
        <v>190</v>
      </c>
      <c r="D29">
        <v>16</v>
      </c>
      <c r="F29" t="s">
        <v>43</v>
      </c>
      <c r="G29" t="s">
        <v>209</v>
      </c>
      <c r="H29">
        <v>16</v>
      </c>
      <c r="M29" t="s">
        <v>44</v>
      </c>
      <c r="N29">
        <v>96</v>
      </c>
    </row>
    <row r="30" spans="2:14" x14ac:dyDescent="0.25">
      <c r="B30" t="s">
        <v>44</v>
      </c>
      <c r="C30" t="s">
        <v>192</v>
      </c>
      <c r="D30">
        <v>16</v>
      </c>
      <c r="F30" t="s">
        <v>33</v>
      </c>
      <c r="G30" t="s">
        <v>212</v>
      </c>
      <c r="H30">
        <v>16</v>
      </c>
    </row>
    <row r="31" spans="2:14" x14ac:dyDescent="0.25">
      <c r="B31" t="s">
        <v>40</v>
      </c>
      <c r="C31" t="s">
        <v>179</v>
      </c>
      <c r="D31">
        <v>15</v>
      </c>
      <c r="F31" t="s">
        <v>36</v>
      </c>
      <c r="G31" t="s">
        <v>214</v>
      </c>
      <c r="H31">
        <v>16</v>
      </c>
    </row>
    <row r="32" spans="2:14" x14ac:dyDescent="0.25">
      <c r="B32" t="s">
        <v>36</v>
      </c>
      <c r="C32" t="s">
        <v>180</v>
      </c>
      <c r="D32">
        <v>15</v>
      </c>
      <c r="F32" t="s">
        <v>33</v>
      </c>
      <c r="G32" t="s">
        <v>221</v>
      </c>
      <c r="H32">
        <v>16</v>
      </c>
      <c r="J32" s="7" t="s">
        <v>11</v>
      </c>
      <c r="K32" s="8" t="s">
        <v>9</v>
      </c>
    </row>
    <row r="33" spans="2:11" x14ac:dyDescent="0.25">
      <c r="B33" t="s">
        <v>41</v>
      </c>
      <c r="C33" t="s">
        <v>185</v>
      </c>
      <c r="D33">
        <v>15</v>
      </c>
      <c r="F33" t="s">
        <v>44</v>
      </c>
      <c r="G33" t="s">
        <v>201</v>
      </c>
      <c r="H33">
        <v>15</v>
      </c>
      <c r="J33" t="str" cm="1">
        <f t="array" ref="J33:J41">_xlfn._xlws.SORT(_xlfn.UNIQUE(Digital_Table1157913151719[Author]))</f>
        <v>Brian Steeper</v>
      </c>
      <c r="K33" s="2" cm="1">
        <f t="array" ref="K33:K41">SUMIF(Digital_Table1157913151719[Author],_xlfn.ANCHORARRAY(J33),Digital_Table1157913151719[Score])</f>
        <v>50</v>
      </c>
    </row>
    <row r="34" spans="2:11" x14ac:dyDescent="0.25">
      <c r="B34" t="s">
        <v>40</v>
      </c>
      <c r="C34" t="s">
        <v>195</v>
      </c>
      <c r="D34">
        <v>15</v>
      </c>
      <c r="F34" t="s">
        <v>36</v>
      </c>
      <c r="G34" t="s">
        <v>205</v>
      </c>
      <c r="H34">
        <v>15</v>
      </c>
      <c r="J34" t="str">
        <v>Dave Smith</v>
      </c>
      <c r="K34" s="2">
        <v>51</v>
      </c>
    </row>
    <row r="35" spans="2:11" x14ac:dyDescent="0.25">
      <c r="B35" t="s">
        <v>36</v>
      </c>
      <c r="C35" t="s">
        <v>196</v>
      </c>
      <c r="D35">
        <v>15</v>
      </c>
      <c r="F35" t="s">
        <v>40</v>
      </c>
      <c r="G35" t="s">
        <v>207</v>
      </c>
      <c r="H35">
        <v>15</v>
      </c>
      <c r="J35" t="str">
        <v>Gail Wrigg</v>
      </c>
      <c r="K35" s="2">
        <v>46</v>
      </c>
    </row>
    <row r="36" spans="2:11" x14ac:dyDescent="0.25">
      <c r="F36" t="s">
        <v>44</v>
      </c>
      <c r="G36" t="s">
        <v>219</v>
      </c>
      <c r="H36">
        <v>15</v>
      </c>
      <c r="J36" t="str">
        <v>Julie Smith</v>
      </c>
      <c r="K36" s="2">
        <v>57</v>
      </c>
    </row>
    <row r="37" spans="2:11" x14ac:dyDescent="0.25">
      <c r="F37" t="s">
        <v>36</v>
      </c>
      <c r="G37" t="s">
        <v>223</v>
      </c>
      <c r="H37">
        <v>15</v>
      </c>
      <c r="J37" t="str">
        <v>Kevin Richardson</v>
      </c>
      <c r="K37" s="2">
        <v>51</v>
      </c>
    </row>
    <row r="38" spans="2:11" x14ac:dyDescent="0.25">
      <c r="F38" t="s">
        <v>40</v>
      </c>
      <c r="G38" t="s">
        <v>225</v>
      </c>
      <c r="H38">
        <v>14</v>
      </c>
      <c r="J38" t="str">
        <v>Martyn Wrigg</v>
      </c>
      <c r="K38" s="2">
        <v>46</v>
      </c>
    </row>
    <row r="39" spans="2:11" x14ac:dyDescent="0.25">
      <c r="J39" t="str">
        <v>Paula Major</v>
      </c>
      <c r="K39" s="2">
        <v>55</v>
      </c>
    </row>
    <row r="40" spans="2:11" x14ac:dyDescent="0.25">
      <c r="J40" t="str">
        <v>Robert Musgrove</v>
      </c>
      <c r="K40" s="2">
        <v>50</v>
      </c>
    </row>
    <row r="41" spans="2:11" x14ac:dyDescent="0.25">
      <c r="J41" t="str">
        <v>Steve Blades</v>
      </c>
      <c r="K41" s="2">
        <v>47</v>
      </c>
    </row>
  </sheetData>
  <dataConsolidate>
    <dataRefs count="2">
      <dataRef ref="J12:K19" sheet="March"/>
      <dataRef ref="J33:K41" sheet="March"/>
    </dataRefs>
  </dataConsolidate>
  <mergeCells count="6">
    <mergeCell ref="B10:D10"/>
    <mergeCell ref="F10:H10"/>
    <mergeCell ref="E2:F2"/>
    <mergeCell ref="E3:F3"/>
    <mergeCell ref="E4:F4"/>
    <mergeCell ref="E5:F5"/>
  </mergeCell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12E96-ED38-40F0-B7DB-CCEB5568A826}">
  <dimension ref="B2:N41"/>
  <sheetViews>
    <sheetView topLeftCell="A11" workbookViewId="0">
      <selection activeCell="J33" activeCellId="1" sqref="J12:K17 J33:K41"/>
    </sheetView>
  </sheetViews>
  <sheetFormatPr defaultRowHeight="15" x14ac:dyDescent="0.25"/>
  <cols>
    <col min="2" max="2" width="18.85546875" bestFit="1" customWidth="1"/>
    <col min="3" max="3" width="28.7109375" customWidth="1"/>
    <col min="4" max="4" width="11.28515625" customWidth="1"/>
    <col min="6" max="6" width="17" customWidth="1"/>
    <col min="7" max="7" width="32.7109375" bestFit="1" customWidth="1"/>
    <col min="8" max="8" width="11.28515625" customWidth="1"/>
    <col min="10" max="10" width="17" bestFit="1" customWidth="1"/>
    <col min="11" max="11" width="9.140625" style="2"/>
    <col min="13" max="13" width="18.42578125" customWidth="1"/>
  </cols>
  <sheetData>
    <row r="2" spans="2:11" x14ac:dyDescent="0.25">
      <c r="B2" t="s">
        <v>0</v>
      </c>
      <c r="C2" s="9" t="s">
        <v>57</v>
      </c>
      <c r="E2" s="46"/>
      <c r="F2" s="46"/>
    </row>
    <row r="3" spans="2:11" x14ac:dyDescent="0.25">
      <c r="B3" s="1" t="s">
        <v>1</v>
      </c>
      <c r="C3" s="9" t="s">
        <v>58</v>
      </c>
      <c r="E3" s="46"/>
      <c r="F3" s="46"/>
    </row>
    <row r="4" spans="2:11" x14ac:dyDescent="0.25">
      <c r="B4" t="s">
        <v>2</v>
      </c>
      <c r="C4" s="10">
        <v>46141</v>
      </c>
      <c r="E4" s="46"/>
      <c r="F4" s="46"/>
    </row>
    <row r="5" spans="2:11" x14ac:dyDescent="0.25">
      <c r="B5" t="s">
        <v>3</v>
      </c>
      <c r="C5" s="9" t="s">
        <v>59</v>
      </c>
      <c r="E5" s="46"/>
      <c r="F5" s="46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B12" t="s">
        <v>41</v>
      </c>
      <c r="C12" t="s">
        <v>238</v>
      </c>
      <c r="D12">
        <v>20</v>
      </c>
      <c r="F12" t="s">
        <v>48</v>
      </c>
      <c r="G12" t="s">
        <v>249</v>
      </c>
      <c r="H12">
        <v>20</v>
      </c>
      <c r="J12" t="str" cm="1">
        <f t="array" ref="J12:J18">_xlfn._xlws.SORT(_xlfn.UNIQUE(Print_Table9468121416[Author]))</f>
        <v>Brian Steeper</v>
      </c>
      <c r="K12" s="2" cm="1">
        <f t="array" ref="K12:K18">SUMIF(Print_Table9468121416[Author],_xlfn.ANCHORARRAY(J12),Print_Table9468121416[Score])</f>
        <v>50</v>
      </c>
    </row>
    <row r="13" spans="2:11" x14ac:dyDescent="0.25">
      <c r="B13" t="s">
        <v>122</v>
      </c>
      <c r="C13" t="s">
        <v>231</v>
      </c>
      <c r="D13">
        <v>19</v>
      </c>
      <c r="F13" t="s">
        <v>41</v>
      </c>
      <c r="G13" t="s">
        <v>251</v>
      </c>
      <c r="H13">
        <v>19</v>
      </c>
      <c r="J13" t="str">
        <v>Dave Smith</v>
      </c>
      <c r="K13" s="2">
        <v>50</v>
      </c>
    </row>
    <row r="14" spans="2:11" x14ac:dyDescent="0.25">
      <c r="B14" t="s">
        <v>41</v>
      </c>
      <c r="C14" t="s">
        <v>244</v>
      </c>
      <c r="D14">
        <v>19</v>
      </c>
      <c r="F14" t="s">
        <v>48</v>
      </c>
      <c r="G14" t="s">
        <v>258</v>
      </c>
      <c r="H14">
        <v>19</v>
      </c>
      <c r="J14" t="str">
        <v>Julie Smith</v>
      </c>
      <c r="K14" s="2">
        <v>54</v>
      </c>
    </row>
    <row r="15" spans="2:11" x14ac:dyDescent="0.25">
      <c r="B15" t="s">
        <v>123</v>
      </c>
      <c r="C15" t="s">
        <v>228</v>
      </c>
      <c r="D15">
        <v>18</v>
      </c>
      <c r="F15" t="s">
        <v>33</v>
      </c>
      <c r="G15" t="s">
        <v>254</v>
      </c>
      <c r="H15">
        <v>18</v>
      </c>
      <c r="J15" t="str">
        <v>Kevin Richardson</v>
      </c>
      <c r="K15" s="2">
        <v>54</v>
      </c>
    </row>
    <row r="16" spans="2:11" x14ac:dyDescent="0.25">
      <c r="B16" t="s">
        <v>44</v>
      </c>
      <c r="C16" t="s">
        <v>230</v>
      </c>
      <c r="D16">
        <v>18</v>
      </c>
      <c r="F16" t="s">
        <v>43</v>
      </c>
      <c r="G16" t="s">
        <v>255</v>
      </c>
      <c r="H16">
        <v>18</v>
      </c>
      <c r="J16" t="str">
        <v>Paula Major</v>
      </c>
      <c r="K16" s="2">
        <v>55</v>
      </c>
    </row>
    <row r="17" spans="2:14" x14ac:dyDescent="0.25">
      <c r="B17" t="s">
        <v>123</v>
      </c>
      <c r="C17" t="s">
        <v>234</v>
      </c>
      <c r="D17">
        <v>18</v>
      </c>
      <c r="F17" t="s">
        <v>122</v>
      </c>
      <c r="G17" t="s">
        <v>268</v>
      </c>
      <c r="H17">
        <v>18</v>
      </c>
      <c r="J17" t="str">
        <v>Steve Blades</v>
      </c>
      <c r="K17" s="2">
        <v>54</v>
      </c>
    </row>
    <row r="18" spans="2:14" x14ac:dyDescent="0.25">
      <c r="B18" t="s">
        <v>44</v>
      </c>
      <c r="C18" t="s">
        <v>236</v>
      </c>
      <c r="D18">
        <v>18</v>
      </c>
      <c r="F18" t="s">
        <v>245</v>
      </c>
      <c r="G18" t="s">
        <v>247</v>
      </c>
      <c r="H18">
        <v>17</v>
      </c>
      <c r="J18">
        <v>0</v>
      </c>
      <c r="K18" s="2">
        <v>0</v>
      </c>
    </row>
    <row r="19" spans="2:14" x14ac:dyDescent="0.25">
      <c r="B19" t="s">
        <v>123</v>
      </c>
      <c r="C19" t="s">
        <v>240</v>
      </c>
      <c r="D19">
        <v>18</v>
      </c>
      <c r="F19" t="s">
        <v>37</v>
      </c>
      <c r="G19" t="s">
        <v>248</v>
      </c>
      <c r="H19">
        <v>17</v>
      </c>
    </row>
    <row r="20" spans="2:14" x14ac:dyDescent="0.25">
      <c r="B20" t="s">
        <v>44</v>
      </c>
      <c r="C20" t="s">
        <v>242</v>
      </c>
      <c r="D20">
        <v>18</v>
      </c>
      <c r="F20" t="s">
        <v>122</v>
      </c>
      <c r="G20" t="s">
        <v>250</v>
      </c>
      <c r="H20">
        <v>17</v>
      </c>
      <c r="M20" s="11" t="s">
        <v>10</v>
      </c>
      <c r="N20" s="6" t="s">
        <v>8</v>
      </c>
    </row>
    <row r="21" spans="2:14" x14ac:dyDescent="0.25">
      <c r="B21" t="s">
        <v>122</v>
      </c>
      <c r="C21" t="s">
        <v>243</v>
      </c>
      <c r="D21">
        <v>18</v>
      </c>
      <c r="F21" t="s">
        <v>37</v>
      </c>
      <c r="G21" t="s">
        <v>257</v>
      </c>
      <c r="H21">
        <v>17</v>
      </c>
      <c r="M21" t="s">
        <v>33</v>
      </c>
      <c r="N21">
        <v>101</v>
      </c>
    </row>
    <row r="22" spans="2:14" x14ac:dyDescent="0.25">
      <c r="B22" t="s">
        <v>33</v>
      </c>
      <c r="C22" t="s">
        <v>227</v>
      </c>
      <c r="D22">
        <v>17</v>
      </c>
      <c r="F22" t="s">
        <v>41</v>
      </c>
      <c r="G22" t="s">
        <v>260</v>
      </c>
      <c r="H22">
        <v>17</v>
      </c>
      <c r="M22" t="s">
        <v>48</v>
      </c>
      <c r="N22">
        <v>106</v>
      </c>
    </row>
    <row r="23" spans="2:14" x14ac:dyDescent="0.25">
      <c r="B23" t="s">
        <v>48</v>
      </c>
      <c r="C23" t="s">
        <v>229</v>
      </c>
      <c r="D23">
        <v>17</v>
      </c>
      <c r="F23" t="s">
        <v>44</v>
      </c>
      <c r="G23" t="s">
        <v>261</v>
      </c>
      <c r="H23">
        <v>17</v>
      </c>
      <c r="M23" t="s">
        <v>122</v>
      </c>
      <c r="N23">
        <v>105</v>
      </c>
    </row>
    <row r="24" spans="2:14" x14ac:dyDescent="0.25">
      <c r="B24" t="s">
        <v>48</v>
      </c>
      <c r="C24" t="s">
        <v>235</v>
      </c>
      <c r="D24">
        <v>17</v>
      </c>
      <c r="F24" t="s">
        <v>123</v>
      </c>
      <c r="G24" t="s">
        <v>262</v>
      </c>
      <c r="H24">
        <v>17</v>
      </c>
      <c r="M24" t="s">
        <v>37</v>
      </c>
      <c r="N24">
        <v>50</v>
      </c>
    </row>
    <row r="25" spans="2:14" x14ac:dyDescent="0.25">
      <c r="B25" t="s">
        <v>122</v>
      </c>
      <c r="C25" t="s">
        <v>237</v>
      </c>
      <c r="D25">
        <v>17</v>
      </c>
      <c r="F25" t="s">
        <v>33</v>
      </c>
      <c r="G25" t="s">
        <v>263</v>
      </c>
      <c r="H25">
        <v>17</v>
      </c>
      <c r="M25" t="s">
        <v>123</v>
      </c>
      <c r="N25">
        <v>104</v>
      </c>
    </row>
    <row r="26" spans="2:14" x14ac:dyDescent="0.25">
      <c r="B26" t="s">
        <v>33</v>
      </c>
      <c r="C26" t="s">
        <v>239</v>
      </c>
      <c r="D26">
        <v>17</v>
      </c>
      <c r="F26" t="s">
        <v>245</v>
      </c>
      <c r="G26" t="s">
        <v>265</v>
      </c>
      <c r="H26">
        <v>17</v>
      </c>
      <c r="M26" t="s">
        <v>245</v>
      </c>
      <c r="N26">
        <v>50</v>
      </c>
    </row>
    <row r="27" spans="2:14" x14ac:dyDescent="0.25">
      <c r="B27" t="s">
        <v>41</v>
      </c>
      <c r="C27" t="s">
        <v>232</v>
      </c>
      <c r="D27">
        <v>16</v>
      </c>
      <c r="F27" t="s">
        <v>48</v>
      </c>
      <c r="G27" t="s">
        <v>267</v>
      </c>
      <c r="H27">
        <v>17</v>
      </c>
      <c r="M27" t="s">
        <v>41</v>
      </c>
      <c r="N27">
        <v>107</v>
      </c>
    </row>
    <row r="28" spans="2:14" x14ac:dyDescent="0.25">
      <c r="B28" t="s">
        <v>33</v>
      </c>
      <c r="C28" t="s">
        <v>233</v>
      </c>
      <c r="D28">
        <v>16</v>
      </c>
      <c r="F28" t="s">
        <v>123</v>
      </c>
      <c r="G28" t="s">
        <v>271</v>
      </c>
      <c r="H28">
        <v>17</v>
      </c>
      <c r="M28" t="s">
        <v>43</v>
      </c>
      <c r="N28">
        <v>50</v>
      </c>
    </row>
    <row r="29" spans="2:14" x14ac:dyDescent="0.25">
      <c r="B29" t="s">
        <v>48</v>
      </c>
      <c r="C29" t="s">
        <v>241</v>
      </c>
      <c r="D29">
        <v>16</v>
      </c>
      <c r="F29" t="s">
        <v>43</v>
      </c>
      <c r="G29" t="s">
        <v>246</v>
      </c>
      <c r="H29">
        <v>16</v>
      </c>
      <c r="M29" t="s">
        <v>44</v>
      </c>
      <c r="N29">
        <v>103</v>
      </c>
    </row>
    <row r="30" spans="2:14" x14ac:dyDescent="0.25">
      <c r="F30" t="s">
        <v>44</v>
      </c>
      <c r="G30" t="s">
        <v>252</v>
      </c>
      <c r="H30">
        <v>16</v>
      </c>
    </row>
    <row r="31" spans="2:14" x14ac:dyDescent="0.25">
      <c r="F31" t="s">
        <v>123</v>
      </c>
      <c r="G31" t="s">
        <v>253</v>
      </c>
      <c r="H31">
        <v>16</v>
      </c>
    </row>
    <row r="32" spans="2:14" x14ac:dyDescent="0.25">
      <c r="F32" t="s">
        <v>245</v>
      </c>
      <c r="G32" t="s">
        <v>256</v>
      </c>
      <c r="H32">
        <v>16</v>
      </c>
      <c r="J32" s="7" t="s">
        <v>11</v>
      </c>
      <c r="K32" s="8" t="s">
        <v>9</v>
      </c>
    </row>
    <row r="33" spans="6:11" x14ac:dyDescent="0.25">
      <c r="F33" t="s">
        <v>122</v>
      </c>
      <c r="G33" t="s">
        <v>259</v>
      </c>
      <c r="H33">
        <v>16</v>
      </c>
      <c r="J33" t="str" cm="1">
        <f t="array" ref="J33:J41">_xlfn._xlws.SORT(_xlfn.UNIQUE(Digital_Table11579131517[Author]))</f>
        <v>Brian Steeper</v>
      </c>
      <c r="K33" s="2" cm="1">
        <f t="array" ref="K33:K41">SUMIF(Digital_Table11579131517[Author],_xlfn.ANCHORARRAY(J33),Digital_Table11579131517[Score])</f>
        <v>51</v>
      </c>
    </row>
    <row r="34" spans="6:11" x14ac:dyDescent="0.25">
      <c r="F34" t="s">
        <v>43</v>
      </c>
      <c r="G34" t="s">
        <v>264</v>
      </c>
      <c r="H34">
        <v>16</v>
      </c>
      <c r="J34" t="str">
        <v>Dave Smith</v>
      </c>
      <c r="K34" s="2">
        <v>56</v>
      </c>
    </row>
    <row r="35" spans="6:11" x14ac:dyDescent="0.25">
      <c r="F35" t="s">
        <v>37</v>
      </c>
      <c r="G35" t="s">
        <v>266</v>
      </c>
      <c r="H35">
        <v>16</v>
      </c>
      <c r="J35" t="str">
        <v>Julie Smith</v>
      </c>
      <c r="K35" s="2">
        <v>51</v>
      </c>
    </row>
    <row r="36" spans="6:11" x14ac:dyDescent="0.25">
      <c r="F36" t="s">
        <v>41</v>
      </c>
      <c r="G36" t="s">
        <v>269</v>
      </c>
      <c r="H36">
        <v>16</v>
      </c>
      <c r="J36" t="str">
        <v>Keith Wressell</v>
      </c>
      <c r="K36" s="2">
        <v>50</v>
      </c>
    </row>
    <row r="37" spans="6:11" x14ac:dyDescent="0.25">
      <c r="F37" t="s">
        <v>44</v>
      </c>
      <c r="G37" t="s">
        <v>270</v>
      </c>
      <c r="H37">
        <v>16</v>
      </c>
      <c r="J37" t="str">
        <v>Kevin Richardson</v>
      </c>
      <c r="K37" s="2">
        <v>50</v>
      </c>
    </row>
    <row r="38" spans="6:11" x14ac:dyDescent="0.25">
      <c r="F38" t="s">
        <v>33</v>
      </c>
      <c r="G38" t="s">
        <v>272</v>
      </c>
      <c r="H38">
        <v>16</v>
      </c>
      <c r="J38" t="str">
        <v>Paul Laws</v>
      </c>
      <c r="K38" s="2">
        <v>50</v>
      </c>
    </row>
    <row r="39" spans="6:11" x14ac:dyDescent="0.25">
      <c r="J39" t="str">
        <v>Paula Major</v>
      </c>
      <c r="K39" s="2">
        <v>52</v>
      </c>
    </row>
    <row r="40" spans="6:11" x14ac:dyDescent="0.25">
      <c r="J40" t="str">
        <v>Robert Musgrove</v>
      </c>
      <c r="K40" s="2">
        <v>50</v>
      </c>
    </row>
    <row r="41" spans="6:11" x14ac:dyDescent="0.25">
      <c r="J41" t="str">
        <v>Steve Blades</v>
      </c>
      <c r="K41" s="2">
        <v>49</v>
      </c>
    </row>
  </sheetData>
  <dataConsolidate topLabels="1">
    <dataRefs count="2">
      <dataRef ref="J11:K17" sheet="April"/>
      <dataRef ref="J32:K41" sheet="April"/>
    </dataRefs>
  </dataConsolidate>
  <mergeCells count="6">
    <mergeCell ref="B10:D10"/>
    <mergeCell ref="F10:H10"/>
    <mergeCell ref="E2:F2"/>
    <mergeCell ref="E3:F3"/>
    <mergeCell ref="E4:F4"/>
    <mergeCell ref="E5:F5"/>
  </mergeCell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C5851-988A-47A5-B1C3-A7849F68B99C}">
  <dimension ref="B2:N40"/>
  <sheetViews>
    <sheetView topLeftCell="A11" zoomScale="94" zoomScaleNormal="94" workbookViewId="0">
      <selection activeCell="Q24" sqref="Q24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4.7109375" bestFit="1" customWidth="1"/>
    <col min="7" max="7" width="32.7109375" bestFit="1" customWidth="1"/>
    <col min="8" max="8" width="11.28515625" customWidth="1"/>
    <col min="10" max="10" width="16.85546875" customWidth="1"/>
    <col min="11" max="11" width="9.140625" style="2"/>
    <col min="13" max="13" width="18.5703125" customWidth="1"/>
  </cols>
  <sheetData>
    <row r="2" spans="2:11" x14ac:dyDescent="0.25">
      <c r="B2" t="s">
        <v>0</v>
      </c>
      <c r="C2" s="9" t="s">
        <v>21</v>
      </c>
      <c r="E2" s="46"/>
      <c r="F2" s="46"/>
    </row>
    <row r="3" spans="2:11" x14ac:dyDescent="0.25">
      <c r="B3" s="1" t="s">
        <v>1</v>
      </c>
      <c r="C3" s="9" t="s">
        <v>60</v>
      </c>
      <c r="E3" s="46"/>
      <c r="F3" s="46"/>
    </row>
    <row r="4" spans="2:11" x14ac:dyDescent="0.25">
      <c r="B4" t="s">
        <v>2</v>
      </c>
      <c r="C4" s="10">
        <v>46169</v>
      </c>
      <c r="E4" s="46"/>
      <c r="F4" s="46"/>
    </row>
    <row r="5" spans="2:11" x14ac:dyDescent="0.25">
      <c r="B5" t="s">
        <v>3</v>
      </c>
      <c r="C5" s="9" t="s">
        <v>61</v>
      </c>
      <c r="E5" s="46"/>
      <c r="F5" s="46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B12" t="s">
        <v>122</v>
      </c>
      <c r="C12" t="s">
        <v>281</v>
      </c>
      <c r="D12">
        <v>20</v>
      </c>
      <c r="F12" t="s">
        <v>33</v>
      </c>
      <c r="G12" t="s">
        <v>302</v>
      </c>
      <c r="H12">
        <v>20</v>
      </c>
      <c r="J12" t="str" cm="1">
        <f t="array" ref="J12:J18">_xlfn._xlws.SORT(_xlfn.UNIQUE(Print_Table94681214[Author]))</f>
        <v>Brian Steeper</v>
      </c>
      <c r="K12" s="2" cm="1">
        <f t="array" ref="K12:K18">SUMIF(Print_Table94681214[Author],_xlfn.ANCHORARRAY(J12),Print_Table94681214[Score])</f>
        <v>54</v>
      </c>
    </row>
    <row r="13" spans="2:11" x14ac:dyDescent="0.25">
      <c r="B13" t="s">
        <v>122</v>
      </c>
      <c r="C13" t="s">
        <v>275</v>
      </c>
      <c r="D13">
        <v>19</v>
      </c>
      <c r="F13" t="s">
        <v>41</v>
      </c>
      <c r="G13" t="s">
        <v>304</v>
      </c>
      <c r="H13">
        <v>19</v>
      </c>
      <c r="J13" t="str">
        <v>Dave Smith</v>
      </c>
      <c r="K13" s="2">
        <v>51</v>
      </c>
    </row>
    <row r="14" spans="2:11" x14ac:dyDescent="0.25">
      <c r="B14" t="s">
        <v>33</v>
      </c>
      <c r="C14" t="s">
        <v>283</v>
      </c>
      <c r="D14">
        <v>19</v>
      </c>
      <c r="F14" t="s">
        <v>48</v>
      </c>
      <c r="G14" t="s">
        <v>305</v>
      </c>
      <c r="H14">
        <v>19</v>
      </c>
      <c r="J14" t="str">
        <v>Julie Smith</v>
      </c>
      <c r="K14" s="2">
        <v>55</v>
      </c>
    </row>
    <row r="15" spans="2:11" x14ac:dyDescent="0.25">
      <c r="B15" t="s">
        <v>123</v>
      </c>
      <c r="C15" t="s">
        <v>276</v>
      </c>
      <c r="D15">
        <v>18</v>
      </c>
      <c r="F15" t="s">
        <v>123</v>
      </c>
      <c r="G15" t="s">
        <v>314</v>
      </c>
      <c r="H15">
        <v>18</v>
      </c>
      <c r="J15" t="str">
        <v>Kevin Richardson</v>
      </c>
      <c r="K15" s="2">
        <v>53</v>
      </c>
    </row>
    <row r="16" spans="2:11" x14ac:dyDescent="0.25">
      <c r="B16" t="s">
        <v>33</v>
      </c>
      <c r="C16" t="s">
        <v>277</v>
      </c>
      <c r="D16">
        <v>18</v>
      </c>
      <c r="F16" t="s">
        <v>41</v>
      </c>
      <c r="G16" t="s">
        <v>296</v>
      </c>
      <c r="H16">
        <v>18</v>
      </c>
      <c r="J16" t="str">
        <v>Paula Major</v>
      </c>
      <c r="K16" s="2">
        <v>52</v>
      </c>
    </row>
    <row r="17" spans="2:14" x14ac:dyDescent="0.25">
      <c r="B17" t="s">
        <v>41</v>
      </c>
      <c r="C17" t="s">
        <v>280</v>
      </c>
      <c r="D17">
        <v>18</v>
      </c>
      <c r="F17" t="s">
        <v>122</v>
      </c>
      <c r="G17" t="s">
        <v>303</v>
      </c>
      <c r="H17">
        <v>18</v>
      </c>
      <c r="J17" t="str">
        <v>Steve Blades</v>
      </c>
      <c r="K17" s="2">
        <v>50</v>
      </c>
    </row>
    <row r="18" spans="2:14" x14ac:dyDescent="0.25">
      <c r="B18" t="s">
        <v>123</v>
      </c>
      <c r="C18" t="s">
        <v>282</v>
      </c>
      <c r="D18">
        <v>18</v>
      </c>
      <c r="F18" t="s">
        <v>43</v>
      </c>
      <c r="G18" t="s">
        <v>307</v>
      </c>
      <c r="H18">
        <v>18</v>
      </c>
      <c r="J18">
        <v>0</v>
      </c>
      <c r="K18" s="2">
        <v>0</v>
      </c>
    </row>
    <row r="19" spans="2:14" x14ac:dyDescent="0.25">
      <c r="B19" t="s">
        <v>48</v>
      </c>
      <c r="C19" t="s">
        <v>284</v>
      </c>
      <c r="D19">
        <v>18</v>
      </c>
      <c r="F19" t="s">
        <v>123</v>
      </c>
      <c r="G19" t="s">
        <v>313</v>
      </c>
      <c r="H19">
        <v>18</v>
      </c>
    </row>
    <row r="20" spans="2:14" x14ac:dyDescent="0.25">
      <c r="B20" t="s">
        <v>41</v>
      </c>
      <c r="C20" t="s">
        <v>286</v>
      </c>
      <c r="D20">
        <v>18</v>
      </c>
      <c r="F20" t="s">
        <v>122</v>
      </c>
      <c r="G20" t="s">
        <v>310</v>
      </c>
      <c r="H20">
        <v>18</v>
      </c>
      <c r="M20" s="11" t="s">
        <v>10</v>
      </c>
      <c r="N20" s="6" t="s">
        <v>8</v>
      </c>
    </row>
    <row r="21" spans="2:14" x14ac:dyDescent="0.25">
      <c r="B21" t="s">
        <v>44</v>
      </c>
      <c r="C21" t="s">
        <v>273</v>
      </c>
      <c r="D21">
        <v>17</v>
      </c>
      <c r="F21" t="s">
        <v>48</v>
      </c>
      <c r="G21" t="s">
        <v>312</v>
      </c>
      <c r="H21">
        <v>18</v>
      </c>
      <c r="M21" t="s">
        <v>33</v>
      </c>
      <c r="N21">
        <v>107</v>
      </c>
    </row>
    <row r="22" spans="2:14" x14ac:dyDescent="0.25">
      <c r="B22" t="s">
        <v>48</v>
      </c>
      <c r="C22" t="s">
        <v>278</v>
      </c>
      <c r="D22">
        <v>17</v>
      </c>
      <c r="F22" t="s">
        <v>44</v>
      </c>
      <c r="G22" t="s">
        <v>293</v>
      </c>
      <c r="H22">
        <v>17</v>
      </c>
      <c r="M22" t="s">
        <v>48</v>
      </c>
      <c r="N22">
        <v>105</v>
      </c>
    </row>
    <row r="23" spans="2:14" x14ac:dyDescent="0.25">
      <c r="B23" t="s">
        <v>44</v>
      </c>
      <c r="C23" t="s">
        <v>285</v>
      </c>
      <c r="D23">
        <v>17</v>
      </c>
      <c r="F23" t="s">
        <v>122</v>
      </c>
      <c r="G23" t="s">
        <v>295</v>
      </c>
      <c r="H23">
        <v>17</v>
      </c>
      <c r="M23" t="s">
        <v>46</v>
      </c>
      <c r="N23">
        <v>46</v>
      </c>
    </row>
    <row r="24" spans="2:14" x14ac:dyDescent="0.25">
      <c r="B24" t="s">
        <v>123</v>
      </c>
      <c r="C24" t="s">
        <v>288</v>
      </c>
      <c r="D24">
        <v>17</v>
      </c>
      <c r="F24" t="s">
        <v>48</v>
      </c>
      <c r="G24" t="s">
        <v>297</v>
      </c>
      <c r="H24">
        <v>17</v>
      </c>
      <c r="M24" t="s">
        <v>122</v>
      </c>
      <c r="N24">
        <v>108</v>
      </c>
    </row>
    <row r="25" spans="2:14" x14ac:dyDescent="0.25">
      <c r="B25" t="s">
        <v>33</v>
      </c>
      <c r="C25" t="s">
        <v>289</v>
      </c>
      <c r="D25">
        <v>17</v>
      </c>
      <c r="F25" t="s">
        <v>123</v>
      </c>
      <c r="G25" t="s">
        <v>300</v>
      </c>
      <c r="H25">
        <v>17</v>
      </c>
      <c r="M25" t="s">
        <v>123</v>
      </c>
      <c r="N25">
        <v>106</v>
      </c>
    </row>
    <row r="26" spans="2:14" x14ac:dyDescent="0.25">
      <c r="B26" t="s">
        <v>41</v>
      </c>
      <c r="C26" t="s">
        <v>274</v>
      </c>
      <c r="D26">
        <v>16</v>
      </c>
      <c r="F26" t="s">
        <v>44</v>
      </c>
      <c r="G26" t="s">
        <v>308</v>
      </c>
      <c r="H26">
        <v>17</v>
      </c>
      <c r="M26" t="s">
        <v>41</v>
      </c>
      <c r="N26">
        <v>106</v>
      </c>
    </row>
    <row r="27" spans="2:14" x14ac:dyDescent="0.25">
      <c r="B27" t="s">
        <v>44</v>
      </c>
      <c r="C27" t="s">
        <v>279</v>
      </c>
      <c r="D27">
        <v>16</v>
      </c>
      <c r="F27" t="s">
        <v>33</v>
      </c>
      <c r="G27" t="s">
        <v>309</v>
      </c>
      <c r="H27">
        <v>17</v>
      </c>
      <c r="M27" t="s">
        <v>43</v>
      </c>
      <c r="N27">
        <v>50</v>
      </c>
    </row>
    <row r="28" spans="2:14" x14ac:dyDescent="0.25">
      <c r="B28" t="s">
        <v>122</v>
      </c>
      <c r="C28" t="s">
        <v>287</v>
      </c>
      <c r="D28">
        <v>16</v>
      </c>
      <c r="F28" t="s">
        <v>41</v>
      </c>
      <c r="G28" t="s">
        <v>311</v>
      </c>
      <c r="H28">
        <v>17</v>
      </c>
      <c r="M28" t="s">
        <v>44</v>
      </c>
      <c r="N28">
        <v>100</v>
      </c>
    </row>
    <row r="29" spans="2:14" x14ac:dyDescent="0.25">
      <c r="B29" t="s">
        <v>48</v>
      </c>
      <c r="C29" t="s">
        <v>290</v>
      </c>
      <c r="D29">
        <v>16</v>
      </c>
      <c r="F29" t="s">
        <v>43</v>
      </c>
      <c r="G29" t="s">
        <v>292</v>
      </c>
      <c r="H29">
        <v>16</v>
      </c>
    </row>
    <row r="30" spans="2:14" x14ac:dyDescent="0.25">
      <c r="F30" t="s">
        <v>33</v>
      </c>
      <c r="G30" t="s">
        <v>294</v>
      </c>
      <c r="H30">
        <v>16</v>
      </c>
    </row>
    <row r="31" spans="2:14" x14ac:dyDescent="0.25">
      <c r="F31" t="s">
        <v>46</v>
      </c>
      <c r="G31" t="s">
        <v>298</v>
      </c>
      <c r="H31">
        <v>16</v>
      </c>
    </row>
    <row r="32" spans="2:14" x14ac:dyDescent="0.25">
      <c r="F32" t="s">
        <v>43</v>
      </c>
      <c r="G32" t="s">
        <v>299</v>
      </c>
      <c r="H32">
        <v>16</v>
      </c>
      <c r="J32" s="7" t="s">
        <v>11</v>
      </c>
      <c r="K32" s="8" t="s">
        <v>9</v>
      </c>
    </row>
    <row r="33" spans="6:11" x14ac:dyDescent="0.25">
      <c r="F33" t="s">
        <v>44</v>
      </c>
      <c r="G33" t="s">
        <v>301</v>
      </c>
      <c r="H33">
        <v>16</v>
      </c>
      <c r="J33" t="str" cm="1">
        <f t="array" ref="J33:J40">_xlfn._xlws.SORT(_xlfn.UNIQUE(Digital_Table115791315[Author]))</f>
        <v>Brian Steeper</v>
      </c>
      <c r="K33" s="2" cm="1">
        <f t="array" ref="K33:K40">SUMIF(Digital_Table115791315[Author],_xlfn.ANCHORARRAY(J33),Digital_Table115791315[Score])</f>
        <v>53</v>
      </c>
    </row>
    <row r="34" spans="6:11" x14ac:dyDescent="0.25">
      <c r="F34" t="s">
        <v>46</v>
      </c>
      <c r="G34" t="s">
        <v>291</v>
      </c>
      <c r="H34">
        <v>15</v>
      </c>
      <c r="J34" t="str">
        <v>Dave Smith</v>
      </c>
      <c r="K34" s="2">
        <v>54</v>
      </c>
    </row>
    <row r="35" spans="6:11" x14ac:dyDescent="0.25">
      <c r="F35" t="s">
        <v>46</v>
      </c>
      <c r="G35" t="s">
        <v>306</v>
      </c>
      <c r="H35">
        <v>15</v>
      </c>
      <c r="J35" t="str">
        <v>Jayne Rushby</v>
      </c>
      <c r="K35" s="2">
        <v>46</v>
      </c>
    </row>
    <row r="36" spans="6:11" x14ac:dyDescent="0.25">
      <c r="J36" t="str">
        <v>Julie Smith</v>
      </c>
      <c r="K36" s="2">
        <v>53</v>
      </c>
    </row>
    <row r="37" spans="6:11" x14ac:dyDescent="0.25">
      <c r="J37" t="str">
        <v>Kevin Richardson</v>
      </c>
      <c r="K37" s="2">
        <v>53</v>
      </c>
    </row>
    <row r="38" spans="6:11" x14ac:dyDescent="0.25">
      <c r="J38" t="str">
        <v>Paula Major</v>
      </c>
      <c r="K38" s="2">
        <v>54</v>
      </c>
    </row>
    <row r="39" spans="6:11" x14ac:dyDescent="0.25">
      <c r="J39" t="str">
        <v>Robert Musgrove</v>
      </c>
      <c r="K39" s="2">
        <v>50</v>
      </c>
    </row>
    <row r="40" spans="6:11" x14ac:dyDescent="0.25">
      <c r="J40" t="str">
        <v>Steve Blades</v>
      </c>
      <c r="K40" s="2">
        <v>50</v>
      </c>
    </row>
  </sheetData>
  <dataConsolidate topLabels="1">
    <dataRefs count="2">
      <dataRef ref="J11:K17" sheet="May"/>
      <dataRef ref="J32:K40" sheet="May"/>
    </dataRefs>
  </dataConsolidate>
  <mergeCells count="6">
    <mergeCell ref="B10:D10"/>
    <mergeCell ref="F10:H10"/>
    <mergeCell ref="E2:F2"/>
    <mergeCell ref="E3:F3"/>
    <mergeCell ref="E4:F4"/>
    <mergeCell ref="E5:F5"/>
  </mergeCells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AD389-6AD5-4987-83CA-0B98DFDC4B98}">
  <dimension ref="B2:N39"/>
  <sheetViews>
    <sheetView topLeftCell="A9" workbookViewId="0">
      <selection activeCell="M15" sqref="M15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8.85546875" customWidth="1"/>
    <col min="7" max="7" width="32.7109375" bestFit="1" customWidth="1"/>
    <col min="8" max="8" width="11.28515625" customWidth="1"/>
    <col min="10" max="10" width="17" bestFit="1" customWidth="1"/>
    <col min="11" max="11" width="9.140625" style="2"/>
    <col min="13" max="13" width="18.42578125" customWidth="1"/>
  </cols>
  <sheetData>
    <row r="2" spans="2:11" x14ac:dyDescent="0.25">
      <c r="B2" t="s">
        <v>0</v>
      </c>
      <c r="C2" s="9" t="s">
        <v>62</v>
      </c>
      <c r="E2" s="46"/>
      <c r="F2" s="46"/>
    </row>
    <row r="3" spans="2:11" x14ac:dyDescent="0.25">
      <c r="B3" s="1" t="s">
        <v>1</v>
      </c>
      <c r="C3" s="9" t="s">
        <v>63</v>
      </c>
      <c r="E3" s="46"/>
      <c r="F3" s="46"/>
    </row>
    <row r="4" spans="2:11" x14ac:dyDescent="0.25">
      <c r="B4" t="s">
        <v>2</v>
      </c>
      <c r="C4" s="10">
        <v>46197</v>
      </c>
      <c r="E4" s="46"/>
      <c r="F4" s="46"/>
    </row>
    <row r="5" spans="2:11" x14ac:dyDescent="0.25">
      <c r="B5" t="s">
        <v>3</v>
      </c>
      <c r="C5" s="9" t="s">
        <v>64</v>
      </c>
      <c r="E5" s="46"/>
      <c r="F5" s="46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B12" t="s">
        <v>41</v>
      </c>
      <c r="C12" t="s">
        <v>317</v>
      </c>
      <c r="D12">
        <v>20</v>
      </c>
      <c r="F12" t="s">
        <v>41</v>
      </c>
      <c r="G12" t="s">
        <v>344</v>
      </c>
      <c r="H12">
        <v>20</v>
      </c>
      <c r="J12" t="str" cm="1">
        <f t="array" ref="J12:J18">_xlfn._xlws.SORT(_xlfn.UNIQUE(Print_Table946812[Author]))</f>
        <v>Brian Steeper</v>
      </c>
      <c r="K12" s="2" cm="1">
        <f t="array" ref="K12:K18">SUMIF(Print_Table946812[Author],_xlfn.ANCHORARRAY(J12),Print_Table946812[Score])</f>
        <v>54</v>
      </c>
    </row>
    <row r="13" spans="2:11" x14ac:dyDescent="0.25">
      <c r="B13" t="s">
        <v>33</v>
      </c>
      <c r="C13" t="s">
        <v>321</v>
      </c>
      <c r="D13">
        <v>19</v>
      </c>
      <c r="F13" t="s">
        <v>48</v>
      </c>
      <c r="G13" t="s">
        <v>349</v>
      </c>
      <c r="H13">
        <v>19</v>
      </c>
      <c r="J13" t="str">
        <v>Dave Smith</v>
      </c>
      <c r="K13" s="2">
        <v>51</v>
      </c>
    </row>
    <row r="14" spans="2:11" x14ac:dyDescent="0.25">
      <c r="B14" t="s">
        <v>122</v>
      </c>
      <c r="C14" t="s">
        <v>325</v>
      </c>
      <c r="D14">
        <v>19</v>
      </c>
      <c r="F14" t="s">
        <v>41</v>
      </c>
      <c r="G14" t="s">
        <v>351</v>
      </c>
      <c r="H14">
        <v>19</v>
      </c>
      <c r="J14" t="str">
        <v>Julie Smith</v>
      </c>
      <c r="K14" s="2">
        <v>54</v>
      </c>
    </row>
    <row r="15" spans="2:11" x14ac:dyDescent="0.25">
      <c r="B15" t="s">
        <v>48</v>
      </c>
      <c r="C15" t="s">
        <v>320</v>
      </c>
      <c r="D15">
        <v>18</v>
      </c>
      <c r="F15" t="s">
        <v>41</v>
      </c>
      <c r="G15" t="s">
        <v>337</v>
      </c>
      <c r="H15">
        <v>18</v>
      </c>
      <c r="J15" t="str">
        <v>Kev Richardson</v>
      </c>
      <c r="K15" s="2">
        <v>50</v>
      </c>
    </row>
    <row r="16" spans="2:11" x14ac:dyDescent="0.25">
      <c r="B16" t="s">
        <v>41</v>
      </c>
      <c r="C16" t="s">
        <v>323</v>
      </c>
      <c r="D16">
        <v>18</v>
      </c>
      <c r="F16" t="s">
        <v>122</v>
      </c>
      <c r="G16" t="s">
        <v>340</v>
      </c>
      <c r="H16">
        <v>18</v>
      </c>
      <c r="J16" t="str">
        <v>Paula Major</v>
      </c>
      <c r="K16" s="2">
        <v>56</v>
      </c>
    </row>
    <row r="17" spans="2:14" x14ac:dyDescent="0.25">
      <c r="B17" t="s">
        <v>33</v>
      </c>
      <c r="C17" t="s">
        <v>327</v>
      </c>
      <c r="D17">
        <v>18</v>
      </c>
      <c r="F17" t="s">
        <v>43</v>
      </c>
      <c r="G17" t="s">
        <v>341</v>
      </c>
      <c r="H17">
        <v>18</v>
      </c>
      <c r="J17" t="str">
        <v>Steve Blades</v>
      </c>
      <c r="K17" s="2">
        <v>49</v>
      </c>
    </row>
    <row r="18" spans="2:14" x14ac:dyDescent="0.25">
      <c r="B18" t="s">
        <v>41</v>
      </c>
      <c r="C18" t="s">
        <v>329</v>
      </c>
      <c r="D18">
        <v>18</v>
      </c>
      <c r="F18" t="s">
        <v>33</v>
      </c>
      <c r="G18" t="s">
        <v>346</v>
      </c>
      <c r="H18">
        <v>18</v>
      </c>
      <c r="J18">
        <v>0</v>
      </c>
      <c r="K18" s="2">
        <v>0</v>
      </c>
    </row>
    <row r="19" spans="2:14" x14ac:dyDescent="0.25">
      <c r="B19" t="s">
        <v>122</v>
      </c>
      <c r="C19" t="s">
        <v>331</v>
      </c>
      <c r="D19">
        <v>18</v>
      </c>
      <c r="F19" t="s">
        <v>38</v>
      </c>
      <c r="G19" t="s">
        <v>352</v>
      </c>
      <c r="H19">
        <v>18</v>
      </c>
    </row>
    <row r="20" spans="2:14" x14ac:dyDescent="0.25">
      <c r="B20" t="s">
        <v>33</v>
      </c>
      <c r="C20" t="s">
        <v>315</v>
      </c>
      <c r="D20">
        <v>17</v>
      </c>
      <c r="F20" t="s">
        <v>33</v>
      </c>
      <c r="G20" t="s">
        <v>353</v>
      </c>
      <c r="H20">
        <v>18</v>
      </c>
      <c r="M20" s="11" t="s">
        <v>10</v>
      </c>
      <c r="N20" s="6" t="s">
        <v>8</v>
      </c>
    </row>
    <row r="21" spans="2:14" x14ac:dyDescent="0.25">
      <c r="B21" t="s">
        <v>38</v>
      </c>
      <c r="C21" t="s">
        <v>316</v>
      </c>
      <c r="D21">
        <v>17</v>
      </c>
      <c r="F21" t="s">
        <v>122</v>
      </c>
      <c r="G21" t="s">
        <v>333</v>
      </c>
      <c r="H21">
        <v>17</v>
      </c>
      <c r="M21" t="s">
        <v>33</v>
      </c>
      <c r="N21">
        <v>107</v>
      </c>
    </row>
    <row r="22" spans="2:14" x14ac:dyDescent="0.25">
      <c r="B22" t="s">
        <v>122</v>
      </c>
      <c r="C22" t="s">
        <v>319</v>
      </c>
      <c r="D22">
        <v>17</v>
      </c>
      <c r="F22" t="s">
        <v>44</v>
      </c>
      <c r="G22" t="s">
        <v>336</v>
      </c>
      <c r="H22">
        <v>17</v>
      </c>
      <c r="M22" t="s">
        <v>48</v>
      </c>
      <c r="N22">
        <v>103</v>
      </c>
    </row>
    <row r="23" spans="2:14" x14ac:dyDescent="0.25">
      <c r="B23" t="s">
        <v>38</v>
      </c>
      <c r="C23" t="s">
        <v>322</v>
      </c>
      <c r="D23">
        <v>17</v>
      </c>
      <c r="F23" t="s">
        <v>33</v>
      </c>
      <c r="G23" t="s">
        <v>339</v>
      </c>
      <c r="H23">
        <v>17</v>
      </c>
      <c r="M23" t="s">
        <v>122</v>
      </c>
      <c r="N23">
        <v>106</v>
      </c>
    </row>
    <row r="24" spans="2:14" x14ac:dyDescent="0.25">
      <c r="B24" t="s">
        <v>44</v>
      </c>
      <c r="C24" t="s">
        <v>330</v>
      </c>
      <c r="D24">
        <v>17</v>
      </c>
      <c r="F24" t="s">
        <v>48</v>
      </c>
      <c r="G24" t="s">
        <v>342</v>
      </c>
      <c r="H24">
        <v>17</v>
      </c>
      <c r="M24" t="s">
        <v>38</v>
      </c>
      <c r="N24">
        <v>101</v>
      </c>
    </row>
    <row r="25" spans="2:14" x14ac:dyDescent="0.25">
      <c r="B25" t="s">
        <v>48</v>
      </c>
      <c r="C25" t="s">
        <v>332</v>
      </c>
      <c r="D25">
        <v>17</v>
      </c>
      <c r="F25" t="s">
        <v>44</v>
      </c>
      <c r="G25" t="s">
        <v>343</v>
      </c>
      <c r="H25">
        <v>17</v>
      </c>
      <c r="M25" t="s">
        <v>41</v>
      </c>
      <c r="N25">
        <v>113</v>
      </c>
    </row>
    <row r="26" spans="2:14" x14ac:dyDescent="0.25">
      <c r="B26" t="s">
        <v>44</v>
      </c>
      <c r="C26" t="s">
        <v>318</v>
      </c>
      <c r="D26">
        <v>16</v>
      </c>
      <c r="F26" t="s">
        <v>38</v>
      </c>
      <c r="G26" t="s">
        <v>345</v>
      </c>
      <c r="H26">
        <v>17</v>
      </c>
      <c r="M26" t="s">
        <v>43</v>
      </c>
      <c r="N26">
        <v>50</v>
      </c>
    </row>
    <row r="27" spans="2:14" x14ac:dyDescent="0.25">
      <c r="B27" t="s">
        <v>44</v>
      </c>
      <c r="C27" t="s">
        <v>324</v>
      </c>
      <c r="D27">
        <v>16</v>
      </c>
      <c r="F27" t="s">
        <v>122</v>
      </c>
      <c r="G27" t="s">
        <v>347</v>
      </c>
      <c r="H27">
        <v>17</v>
      </c>
      <c r="M27" t="s">
        <v>44</v>
      </c>
      <c r="N27">
        <v>99</v>
      </c>
    </row>
    <row r="28" spans="2:14" x14ac:dyDescent="0.25">
      <c r="B28" t="s">
        <v>48</v>
      </c>
      <c r="C28" t="s">
        <v>326</v>
      </c>
      <c r="D28">
        <v>16</v>
      </c>
      <c r="F28" t="s">
        <v>43</v>
      </c>
      <c r="G28" t="s">
        <v>334</v>
      </c>
      <c r="H28">
        <v>16</v>
      </c>
    </row>
    <row r="29" spans="2:14" x14ac:dyDescent="0.25">
      <c r="B29" t="s">
        <v>38</v>
      </c>
      <c r="C29" t="s">
        <v>328</v>
      </c>
      <c r="D29">
        <v>16</v>
      </c>
      <c r="F29" t="s">
        <v>48</v>
      </c>
      <c r="G29" t="s">
        <v>335</v>
      </c>
      <c r="H29">
        <v>16</v>
      </c>
    </row>
    <row r="30" spans="2:14" x14ac:dyDescent="0.25">
      <c r="F30" t="s">
        <v>38</v>
      </c>
      <c r="G30" t="s">
        <v>338</v>
      </c>
      <c r="H30">
        <v>16</v>
      </c>
    </row>
    <row r="31" spans="2:14" x14ac:dyDescent="0.25">
      <c r="F31" t="s">
        <v>43</v>
      </c>
      <c r="G31" t="s">
        <v>348</v>
      </c>
      <c r="H31">
        <v>16</v>
      </c>
    </row>
    <row r="32" spans="2:14" x14ac:dyDescent="0.25">
      <c r="F32" t="s">
        <v>44</v>
      </c>
      <c r="G32" t="s">
        <v>350</v>
      </c>
      <c r="H32">
        <v>16</v>
      </c>
      <c r="J32" s="7" t="s">
        <v>11</v>
      </c>
      <c r="K32" s="8" t="s">
        <v>9</v>
      </c>
    </row>
    <row r="33" spans="10:11" x14ac:dyDescent="0.25">
      <c r="J33" t="str" cm="1">
        <f t="array" ref="J33:J39">_xlfn._xlws.SORT(_xlfn.UNIQUE(Digital_Table1157913[Author]))</f>
        <v>Brian Steeper</v>
      </c>
      <c r="K33" s="2" cm="1">
        <f t="array" ref="K33:K39">SUMIF(Digital_Table1157913[Author],_xlfn.ANCHORARRAY(J33),Digital_Table1157913[Score])</f>
        <v>53</v>
      </c>
    </row>
    <row r="34" spans="10:11" x14ac:dyDescent="0.25">
      <c r="J34" t="str">
        <v>Dave Smith</v>
      </c>
      <c r="K34" s="2">
        <v>52</v>
      </c>
    </row>
    <row r="35" spans="10:11" x14ac:dyDescent="0.25">
      <c r="J35" t="str">
        <v>Julie Smith</v>
      </c>
      <c r="K35" s="2">
        <v>52</v>
      </c>
    </row>
    <row r="36" spans="10:11" x14ac:dyDescent="0.25">
      <c r="J36" t="str">
        <v>Kev Richardson</v>
      </c>
      <c r="K36" s="2">
        <v>51</v>
      </c>
    </row>
    <row r="37" spans="10:11" x14ac:dyDescent="0.25">
      <c r="J37" t="str">
        <v>Paula Major</v>
      </c>
      <c r="K37" s="2">
        <v>57</v>
      </c>
    </row>
    <row r="38" spans="10:11" x14ac:dyDescent="0.25">
      <c r="J38" t="str">
        <v>Robert Musgrove</v>
      </c>
      <c r="K38" s="2">
        <v>50</v>
      </c>
    </row>
    <row r="39" spans="10:11" x14ac:dyDescent="0.25">
      <c r="J39" t="str">
        <v>Steve Blades</v>
      </c>
      <c r="K39" s="2">
        <v>50</v>
      </c>
    </row>
  </sheetData>
  <dataConsolidate topLabels="1">
    <dataRefs count="2">
      <dataRef ref="J11:K17" sheet="June"/>
      <dataRef ref="J32:K39" sheet="June"/>
    </dataRefs>
  </dataConsolidate>
  <mergeCells count="6">
    <mergeCell ref="B10:D10"/>
    <mergeCell ref="F10:H10"/>
    <mergeCell ref="E2:F2"/>
    <mergeCell ref="E3:F3"/>
    <mergeCell ref="E4:F4"/>
    <mergeCell ref="E5:F5"/>
  </mergeCells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44731-CA98-4189-B8F3-289A4EF2B3CC}">
  <dimension ref="B2:N44"/>
  <sheetViews>
    <sheetView topLeftCell="A5" zoomScale="68" zoomScaleNormal="68" workbookViewId="0">
      <selection activeCell="J32" activeCellId="1" sqref="J11:K20 J32:K43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4.7109375" bestFit="1" customWidth="1"/>
    <col min="7" max="7" width="32.7109375" bestFit="1" customWidth="1"/>
    <col min="8" max="8" width="11.28515625" customWidth="1"/>
    <col min="10" max="10" width="17" bestFit="1" customWidth="1"/>
    <col min="11" max="11" width="9.140625" style="2"/>
    <col min="13" max="13" width="18.42578125" customWidth="1"/>
  </cols>
  <sheetData>
    <row r="2" spans="2:11" x14ac:dyDescent="0.25">
      <c r="B2" t="s">
        <v>0</v>
      </c>
      <c r="C2" s="9" t="s">
        <v>65</v>
      </c>
      <c r="E2" s="46"/>
      <c r="F2" s="46"/>
    </row>
    <row r="3" spans="2:11" x14ac:dyDescent="0.25">
      <c r="B3" s="1" t="s">
        <v>1</v>
      </c>
      <c r="C3" s="9" t="s">
        <v>66</v>
      </c>
      <c r="E3" s="46"/>
      <c r="F3" s="46"/>
    </row>
    <row r="4" spans="2:11" x14ac:dyDescent="0.25">
      <c r="B4" t="s">
        <v>2</v>
      </c>
      <c r="C4" s="10">
        <v>46232</v>
      </c>
      <c r="E4" s="46"/>
      <c r="F4" s="46"/>
    </row>
    <row r="5" spans="2:11" x14ac:dyDescent="0.25">
      <c r="B5" t="s">
        <v>3</v>
      </c>
      <c r="C5" s="9" t="s">
        <v>67</v>
      </c>
      <c r="E5" s="46"/>
      <c r="F5" s="46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B12" t="s">
        <v>42</v>
      </c>
      <c r="C12" t="s">
        <v>371</v>
      </c>
      <c r="D12">
        <v>20</v>
      </c>
      <c r="F12" t="s">
        <v>41</v>
      </c>
      <c r="G12" t="s">
        <v>394</v>
      </c>
      <c r="H12">
        <v>20</v>
      </c>
      <c r="J12" t="str" cm="1">
        <f t="array" ref="J12:J21">_xlfn._xlws.SORT(_xlfn.UNIQUE(Print_Table9468[Author]))</f>
        <v>Brian Steeper</v>
      </c>
      <c r="K12" s="2" cm="1">
        <f t="array" ref="K12:K21">SUMIF(Print_Table9468[Author],_xlfn.ANCHORARRAY(J12),Print_Table9468[Score])</f>
        <v>47</v>
      </c>
    </row>
    <row r="13" spans="2:11" x14ac:dyDescent="0.25">
      <c r="B13" t="s">
        <v>36</v>
      </c>
      <c r="C13" t="s">
        <v>369</v>
      </c>
      <c r="D13">
        <v>19</v>
      </c>
      <c r="F13" t="s">
        <v>43</v>
      </c>
      <c r="G13" t="s">
        <v>393</v>
      </c>
      <c r="H13">
        <v>19</v>
      </c>
      <c r="J13" t="str">
        <v>Dave Smith</v>
      </c>
      <c r="K13" s="2">
        <v>50</v>
      </c>
    </row>
    <row r="14" spans="2:11" x14ac:dyDescent="0.25">
      <c r="B14" t="s">
        <v>41</v>
      </c>
      <c r="C14" t="s">
        <v>370</v>
      </c>
      <c r="D14">
        <v>19</v>
      </c>
      <c r="F14" t="s">
        <v>48</v>
      </c>
      <c r="G14" t="s">
        <v>413</v>
      </c>
      <c r="H14">
        <v>19</v>
      </c>
      <c r="J14" t="str">
        <v>Gail Wrigg</v>
      </c>
      <c r="K14" s="2">
        <v>52</v>
      </c>
    </row>
    <row r="15" spans="2:11" x14ac:dyDescent="0.25">
      <c r="B15" t="s">
        <v>122</v>
      </c>
      <c r="C15" t="s">
        <v>355</v>
      </c>
      <c r="D15">
        <v>18</v>
      </c>
      <c r="F15" t="s">
        <v>33</v>
      </c>
      <c r="G15" t="s">
        <v>387</v>
      </c>
      <c r="H15">
        <v>18</v>
      </c>
      <c r="J15" t="str">
        <v>Julie Smith</v>
      </c>
      <c r="K15" s="2">
        <v>54</v>
      </c>
    </row>
    <row r="16" spans="2:11" x14ac:dyDescent="0.25">
      <c r="B16" t="s">
        <v>41</v>
      </c>
      <c r="C16" t="s">
        <v>361</v>
      </c>
      <c r="D16">
        <v>18</v>
      </c>
      <c r="F16" t="s">
        <v>42</v>
      </c>
      <c r="G16" t="s">
        <v>389</v>
      </c>
      <c r="H16">
        <v>18</v>
      </c>
      <c r="J16" t="str">
        <v>Kevin Richardson</v>
      </c>
      <c r="K16" s="2">
        <v>46</v>
      </c>
    </row>
    <row r="17" spans="2:14" x14ac:dyDescent="0.25">
      <c r="B17" t="s">
        <v>122</v>
      </c>
      <c r="C17" t="s">
        <v>364</v>
      </c>
      <c r="D17">
        <v>18</v>
      </c>
      <c r="F17" t="s">
        <v>122</v>
      </c>
      <c r="G17" t="s">
        <v>396</v>
      </c>
      <c r="H17">
        <v>18</v>
      </c>
      <c r="J17" t="str">
        <v>Martyn Wrigg</v>
      </c>
      <c r="K17" s="2">
        <v>43</v>
      </c>
    </row>
    <row r="18" spans="2:14" x14ac:dyDescent="0.25">
      <c r="B18" t="s">
        <v>122</v>
      </c>
      <c r="C18" t="s">
        <v>373</v>
      </c>
      <c r="D18">
        <v>18</v>
      </c>
      <c r="F18" t="s">
        <v>123</v>
      </c>
      <c r="G18" t="s">
        <v>397</v>
      </c>
      <c r="H18">
        <v>18</v>
      </c>
      <c r="J18" t="str">
        <v>Paula Major</v>
      </c>
      <c r="K18" s="2">
        <v>55</v>
      </c>
    </row>
    <row r="19" spans="2:14" x14ac:dyDescent="0.25">
      <c r="B19" t="s">
        <v>48</v>
      </c>
      <c r="C19" t="s">
        <v>377</v>
      </c>
      <c r="D19">
        <v>18</v>
      </c>
      <c r="F19" t="s">
        <v>41</v>
      </c>
      <c r="G19" t="s">
        <v>383</v>
      </c>
      <c r="H19">
        <v>17</v>
      </c>
      <c r="J19" t="str">
        <v>Richard Poustie</v>
      </c>
      <c r="K19" s="2">
        <v>54</v>
      </c>
    </row>
    <row r="20" spans="2:14" x14ac:dyDescent="0.25">
      <c r="B20" t="s">
        <v>41</v>
      </c>
      <c r="C20" t="s">
        <v>379</v>
      </c>
      <c r="D20">
        <v>18</v>
      </c>
      <c r="F20" t="s">
        <v>122</v>
      </c>
      <c r="G20" t="s">
        <v>385</v>
      </c>
      <c r="H20">
        <v>17</v>
      </c>
      <c r="J20" t="str">
        <v>Steve Blades</v>
      </c>
      <c r="K20" s="2">
        <v>47</v>
      </c>
      <c r="M20" s="11" t="s">
        <v>10</v>
      </c>
      <c r="N20" s="6" t="s">
        <v>9</v>
      </c>
    </row>
    <row r="21" spans="2:14" x14ac:dyDescent="0.25">
      <c r="B21" t="s">
        <v>42</v>
      </c>
      <c r="C21" t="s">
        <v>380</v>
      </c>
      <c r="D21">
        <v>18</v>
      </c>
      <c r="F21" t="s">
        <v>122</v>
      </c>
      <c r="G21" t="s">
        <v>407</v>
      </c>
      <c r="H21">
        <v>17</v>
      </c>
      <c r="J21">
        <v>0</v>
      </c>
      <c r="K21" s="2">
        <v>0</v>
      </c>
      <c r="M21" t="s">
        <v>33</v>
      </c>
      <c r="N21">
        <v>94</v>
      </c>
    </row>
    <row r="22" spans="2:14" x14ac:dyDescent="0.25">
      <c r="B22" t="s">
        <v>33</v>
      </c>
      <c r="C22" t="s">
        <v>357</v>
      </c>
      <c r="D22">
        <v>17</v>
      </c>
      <c r="F22" t="s">
        <v>42</v>
      </c>
      <c r="G22" t="s">
        <v>411</v>
      </c>
      <c r="H22">
        <v>17</v>
      </c>
      <c r="M22" t="s">
        <v>48</v>
      </c>
      <c r="N22">
        <v>100</v>
      </c>
    </row>
    <row r="23" spans="2:14" x14ac:dyDescent="0.25">
      <c r="B23" t="s">
        <v>36</v>
      </c>
      <c r="C23" t="s">
        <v>360</v>
      </c>
      <c r="D23">
        <v>17</v>
      </c>
      <c r="F23" t="s">
        <v>43</v>
      </c>
      <c r="G23" t="s">
        <v>382</v>
      </c>
      <c r="H23">
        <v>16</v>
      </c>
      <c r="M23" t="s">
        <v>36</v>
      </c>
      <c r="N23">
        <v>97</v>
      </c>
    </row>
    <row r="24" spans="2:14" x14ac:dyDescent="0.25">
      <c r="B24" t="s">
        <v>123</v>
      </c>
      <c r="C24" t="s">
        <v>365</v>
      </c>
      <c r="D24">
        <v>17</v>
      </c>
      <c r="F24" t="s">
        <v>36</v>
      </c>
      <c r="G24" t="s">
        <v>384</v>
      </c>
      <c r="H24">
        <v>16</v>
      </c>
      <c r="M24" t="s">
        <v>46</v>
      </c>
      <c r="N24">
        <v>44</v>
      </c>
    </row>
    <row r="25" spans="2:14" x14ac:dyDescent="0.25">
      <c r="B25" t="s">
        <v>48</v>
      </c>
      <c r="C25" t="s">
        <v>368</v>
      </c>
      <c r="D25">
        <v>17</v>
      </c>
      <c r="F25" t="s">
        <v>44</v>
      </c>
      <c r="G25" t="s">
        <v>388</v>
      </c>
      <c r="H25">
        <v>16</v>
      </c>
      <c r="M25" t="s">
        <v>122</v>
      </c>
      <c r="N25">
        <v>106</v>
      </c>
    </row>
    <row r="26" spans="2:14" x14ac:dyDescent="0.25">
      <c r="B26" t="s">
        <v>40</v>
      </c>
      <c r="C26" t="s">
        <v>376</v>
      </c>
      <c r="D26">
        <v>17</v>
      </c>
      <c r="F26" t="s">
        <v>46</v>
      </c>
      <c r="G26" t="s">
        <v>392</v>
      </c>
      <c r="H26">
        <v>16</v>
      </c>
      <c r="M26" t="s">
        <v>123</v>
      </c>
      <c r="N26">
        <v>95</v>
      </c>
    </row>
    <row r="27" spans="2:14" x14ac:dyDescent="0.25">
      <c r="B27" t="s">
        <v>123</v>
      </c>
      <c r="C27" t="s">
        <v>356</v>
      </c>
      <c r="D27">
        <v>16</v>
      </c>
      <c r="F27" t="s">
        <v>44</v>
      </c>
      <c r="G27" t="s">
        <v>399</v>
      </c>
      <c r="H27">
        <v>16</v>
      </c>
      <c r="M27" t="s">
        <v>40</v>
      </c>
      <c r="N27">
        <v>86</v>
      </c>
    </row>
    <row r="28" spans="2:14" x14ac:dyDescent="0.25">
      <c r="B28" t="s">
        <v>42</v>
      </c>
      <c r="C28" t="s">
        <v>362</v>
      </c>
      <c r="D28">
        <v>16</v>
      </c>
      <c r="F28" t="s">
        <v>48</v>
      </c>
      <c r="G28" t="s">
        <v>402</v>
      </c>
      <c r="H28">
        <v>16</v>
      </c>
      <c r="M28" t="s">
        <v>41</v>
      </c>
      <c r="N28">
        <v>108</v>
      </c>
    </row>
    <row r="29" spans="2:14" x14ac:dyDescent="0.25">
      <c r="B29" t="s">
        <v>44</v>
      </c>
      <c r="C29" t="s">
        <v>363</v>
      </c>
      <c r="D29">
        <v>16</v>
      </c>
      <c r="F29" t="s">
        <v>43</v>
      </c>
      <c r="G29" t="s">
        <v>404</v>
      </c>
      <c r="H29">
        <v>16</v>
      </c>
      <c r="M29" t="s">
        <v>42</v>
      </c>
      <c r="N29">
        <v>104</v>
      </c>
    </row>
    <row r="30" spans="2:14" x14ac:dyDescent="0.25">
      <c r="B30" t="s">
        <v>44</v>
      </c>
      <c r="C30" t="s">
        <v>372</v>
      </c>
      <c r="D30">
        <v>16</v>
      </c>
      <c r="F30" t="s">
        <v>41</v>
      </c>
      <c r="G30" t="s">
        <v>405</v>
      </c>
      <c r="H30">
        <v>16</v>
      </c>
      <c r="M30" t="s">
        <v>43</v>
      </c>
      <c r="N30">
        <v>51</v>
      </c>
    </row>
    <row r="31" spans="2:14" x14ac:dyDescent="0.25">
      <c r="B31" t="s">
        <v>36</v>
      </c>
      <c r="C31" t="s">
        <v>378</v>
      </c>
      <c r="D31">
        <v>16</v>
      </c>
      <c r="F31" t="s">
        <v>36</v>
      </c>
      <c r="G31" t="s">
        <v>406</v>
      </c>
      <c r="H31">
        <v>16</v>
      </c>
      <c r="M31" t="s">
        <v>44</v>
      </c>
      <c r="N31">
        <v>94</v>
      </c>
    </row>
    <row r="32" spans="2:14" x14ac:dyDescent="0.25">
      <c r="B32" t="s">
        <v>44</v>
      </c>
      <c r="C32" t="s">
        <v>354</v>
      </c>
      <c r="D32">
        <v>15</v>
      </c>
      <c r="F32" t="s">
        <v>123</v>
      </c>
      <c r="G32" t="s">
        <v>408</v>
      </c>
      <c r="H32">
        <v>16</v>
      </c>
      <c r="J32" s="7" t="s">
        <v>11</v>
      </c>
      <c r="K32" s="8" t="s">
        <v>9</v>
      </c>
    </row>
    <row r="33" spans="2:11" x14ac:dyDescent="0.25">
      <c r="B33" t="s">
        <v>48</v>
      </c>
      <c r="C33" t="s">
        <v>359</v>
      </c>
      <c r="D33">
        <v>15</v>
      </c>
      <c r="F33" t="s">
        <v>40</v>
      </c>
      <c r="G33" t="s">
        <v>412</v>
      </c>
      <c r="H33">
        <v>16</v>
      </c>
      <c r="J33" t="str" cm="1">
        <f t="array" ref="J33:J43">_xlfn._xlws.SORT(_xlfn.UNIQUE(Digital_Table11579[Author]))</f>
        <v>Brian Steeper</v>
      </c>
      <c r="K33" s="2" cm="1">
        <f t="array" ref="K33:K43">SUMIF(Digital_Table11579[Author],_xlfn.ANCHORARRAY(J33),Digital_Table11579[Score])</f>
        <v>47</v>
      </c>
    </row>
    <row r="34" spans="2:11" x14ac:dyDescent="0.25">
      <c r="B34" t="s">
        <v>33</v>
      </c>
      <c r="C34" t="s">
        <v>366</v>
      </c>
      <c r="D34">
        <v>15</v>
      </c>
      <c r="F34" t="s">
        <v>123</v>
      </c>
      <c r="G34" t="s">
        <v>386</v>
      </c>
      <c r="H34">
        <v>15</v>
      </c>
      <c r="J34" t="str">
        <v>Dave Smith</v>
      </c>
      <c r="K34" s="2">
        <v>50</v>
      </c>
    </row>
    <row r="35" spans="2:11" x14ac:dyDescent="0.25">
      <c r="B35" t="s">
        <v>33</v>
      </c>
      <c r="C35" t="s">
        <v>375</v>
      </c>
      <c r="D35">
        <v>15</v>
      </c>
      <c r="F35" t="s">
        <v>40</v>
      </c>
      <c r="G35" t="s">
        <v>390</v>
      </c>
      <c r="H35">
        <v>15</v>
      </c>
      <c r="J35" t="str">
        <v>Gail Wrigg</v>
      </c>
      <c r="K35" s="2">
        <v>45</v>
      </c>
    </row>
    <row r="36" spans="2:11" x14ac:dyDescent="0.25">
      <c r="B36" t="s">
        <v>40</v>
      </c>
      <c r="C36" t="s">
        <v>358</v>
      </c>
      <c r="D36">
        <v>13</v>
      </c>
      <c r="F36" t="s">
        <v>48</v>
      </c>
      <c r="G36" t="s">
        <v>391</v>
      </c>
      <c r="H36">
        <v>15</v>
      </c>
      <c r="J36" t="str">
        <v>Jayne Rushby</v>
      </c>
      <c r="K36" s="2">
        <v>44</v>
      </c>
    </row>
    <row r="37" spans="2:11" x14ac:dyDescent="0.25">
      <c r="B37" t="s">
        <v>40</v>
      </c>
      <c r="C37" t="s">
        <v>367</v>
      </c>
      <c r="D37">
        <v>13</v>
      </c>
      <c r="F37" t="s">
        <v>42</v>
      </c>
      <c r="G37" t="s">
        <v>400</v>
      </c>
      <c r="H37">
        <v>15</v>
      </c>
      <c r="J37" t="str">
        <v>Julie Smith</v>
      </c>
      <c r="K37" s="2">
        <v>52</v>
      </c>
    </row>
    <row r="38" spans="2:11" x14ac:dyDescent="0.25">
      <c r="B38" t="s">
        <v>123</v>
      </c>
      <c r="C38" t="s">
        <v>374</v>
      </c>
      <c r="D38">
        <v>13</v>
      </c>
      <c r="F38" t="s">
        <v>33</v>
      </c>
      <c r="G38" t="s">
        <v>409</v>
      </c>
      <c r="H38">
        <v>15</v>
      </c>
      <c r="J38" t="str">
        <v>Kevin Richardson</v>
      </c>
      <c r="K38" s="2">
        <v>49</v>
      </c>
    </row>
    <row r="39" spans="2:11" x14ac:dyDescent="0.25">
      <c r="F39" t="s">
        <v>44</v>
      </c>
      <c r="G39" t="s">
        <v>410</v>
      </c>
      <c r="H39">
        <v>15</v>
      </c>
      <c r="J39" t="str">
        <v>Martyn Wrigg</v>
      </c>
      <c r="K39" s="2">
        <v>43</v>
      </c>
    </row>
    <row r="40" spans="2:11" x14ac:dyDescent="0.25">
      <c r="F40" t="s">
        <v>46</v>
      </c>
      <c r="G40" t="s">
        <v>381</v>
      </c>
      <c r="H40">
        <v>14</v>
      </c>
      <c r="J40" t="str">
        <v>Paula Major</v>
      </c>
      <c r="K40" s="2">
        <v>53</v>
      </c>
    </row>
    <row r="41" spans="2:11" x14ac:dyDescent="0.25">
      <c r="F41" t="s">
        <v>33</v>
      </c>
      <c r="G41" t="s">
        <v>398</v>
      </c>
      <c r="H41">
        <v>14</v>
      </c>
      <c r="J41" t="str">
        <v>Richard Poustie</v>
      </c>
      <c r="K41" s="2">
        <v>50</v>
      </c>
    </row>
    <row r="42" spans="2:11" x14ac:dyDescent="0.25">
      <c r="F42" t="s">
        <v>46</v>
      </c>
      <c r="G42" t="s">
        <v>403</v>
      </c>
      <c r="H42">
        <v>14</v>
      </c>
      <c r="J42" t="str">
        <v>Robert Musgrove</v>
      </c>
      <c r="K42" s="2">
        <v>51</v>
      </c>
    </row>
    <row r="43" spans="2:11" x14ac:dyDescent="0.25">
      <c r="F43" t="s">
        <v>36</v>
      </c>
      <c r="G43" t="s">
        <v>395</v>
      </c>
      <c r="H43">
        <v>13</v>
      </c>
      <c r="J43" t="str">
        <v>Steve Blades</v>
      </c>
      <c r="K43" s="2">
        <v>47</v>
      </c>
    </row>
    <row r="44" spans="2:11" x14ac:dyDescent="0.25">
      <c r="F44" t="s">
        <v>40</v>
      </c>
      <c r="G44" t="s">
        <v>401</v>
      </c>
      <c r="H44">
        <v>12</v>
      </c>
    </row>
  </sheetData>
  <dataConsolidate topLabels="1">
    <dataRefs count="2">
      <dataRef ref="J11:K20" sheet="July"/>
      <dataRef ref="J32:K43" sheet="July"/>
    </dataRefs>
  </dataConsolidate>
  <mergeCells count="6">
    <mergeCell ref="B10:D10"/>
    <mergeCell ref="F10:H10"/>
    <mergeCell ref="E2:F2"/>
    <mergeCell ref="E3:F3"/>
    <mergeCell ref="E4:F4"/>
    <mergeCell ref="E5:F5"/>
  </mergeCells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BD4ED-3875-4FC8-963B-B14F1820FB16}">
  <dimension ref="B2:N42"/>
  <sheetViews>
    <sheetView zoomScale="55" zoomScaleNormal="55" workbookViewId="0">
      <selection activeCell="J32" activeCellId="1" sqref="J11:K20 J32:K42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8.28515625" customWidth="1"/>
    <col min="7" max="7" width="32.7109375" bestFit="1" customWidth="1"/>
    <col min="8" max="8" width="11.28515625" customWidth="1"/>
    <col min="10" max="10" width="17" bestFit="1" customWidth="1"/>
    <col min="11" max="11" width="9.140625" style="2"/>
    <col min="13" max="13" width="18.28515625" customWidth="1"/>
  </cols>
  <sheetData>
    <row r="2" spans="2:11" x14ac:dyDescent="0.25">
      <c r="B2" t="s">
        <v>0</v>
      </c>
      <c r="C2" s="9" t="s">
        <v>68</v>
      </c>
      <c r="E2" s="46"/>
      <c r="F2" s="46"/>
    </row>
    <row r="3" spans="2:11" x14ac:dyDescent="0.25">
      <c r="B3" s="1" t="s">
        <v>1</v>
      </c>
      <c r="C3" s="9" t="s">
        <v>69</v>
      </c>
      <c r="E3" s="46"/>
      <c r="F3" s="46"/>
    </row>
    <row r="4" spans="2:11" x14ac:dyDescent="0.25">
      <c r="B4" t="s">
        <v>2</v>
      </c>
      <c r="C4" s="10">
        <v>46260</v>
      </c>
      <c r="E4" s="46"/>
      <c r="F4" s="46"/>
    </row>
    <row r="5" spans="2:11" x14ac:dyDescent="0.25">
      <c r="B5" t="s">
        <v>3</v>
      </c>
      <c r="C5" s="9" t="s">
        <v>414</v>
      </c>
      <c r="E5" s="46"/>
      <c r="F5" s="46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B12" t="s">
        <v>36</v>
      </c>
      <c r="C12" t="s">
        <v>416</v>
      </c>
      <c r="D12">
        <v>20</v>
      </c>
      <c r="F12" t="s">
        <v>415</v>
      </c>
      <c r="G12" t="s">
        <v>453</v>
      </c>
      <c r="H12">
        <v>20</v>
      </c>
      <c r="J12" t="str" cm="1">
        <f t="array" ref="J12:J21">_xlfn._xlws.SORT(_xlfn.UNIQUE(Print_Table946[Author]))</f>
        <v>Brian Steeper</v>
      </c>
      <c r="K12" s="2" cm="1">
        <f t="array" ref="K12:K21">SUMIF(Print_Table946[Author],_xlfn.ANCHORARRAY(J12),Print_Table946[Score])</f>
        <v>55</v>
      </c>
    </row>
    <row r="13" spans="2:11" x14ac:dyDescent="0.25">
      <c r="B13" t="s">
        <v>122</v>
      </c>
      <c r="C13" t="s">
        <v>420</v>
      </c>
      <c r="D13">
        <v>19</v>
      </c>
      <c r="F13" t="s">
        <v>41</v>
      </c>
      <c r="G13" t="s">
        <v>455</v>
      </c>
      <c r="H13">
        <v>19</v>
      </c>
      <c r="J13" t="str">
        <v>Chri Donne</v>
      </c>
      <c r="K13" s="2">
        <v>47</v>
      </c>
    </row>
    <row r="14" spans="2:11" x14ac:dyDescent="0.25">
      <c r="B14" t="s">
        <v>33</v>
      </c>
      <c r="C14" t="s">
        <v>436</v>
      </c>
      <c r="D14">
        <v>19</v>
      </c>
      <c r="F14" t="s">
        <v>123</v>
      </c>
      <c r="G14" t="s">
        <v>468</v>
      </c>
      <c r="H14">
        <v>19</v>
      </c>
      <c r="J14" t="str">
        <v>Dave Smith</v>
      </c>
      <c r="K14" s="2">
        <v>49</v>
      </c>
    </row>
    <row r="15" spans="2:11" x14ac:dyDescent="0.25">
      <c r="B15" t="s">
        <v>33</v>
      </c>
      <c r="C15" t="s">
        <v>418</v>
      </c>
      <c r="D15">
        <v>18</v>
      </c>
      <c r="F15" t="s">
        <v>123</v>
      </c>
      <c r="G15" t="s">
        <v>449</v>
      </c>
      <c r="H15">
        <v>18</v>
      </c>
      <c r="J15" t="str">
        <v>Gail Wrigg</v>
      </c>
      <c r="K15" s="2">
        <v>50</v>
      </c>
    </row>
    <row r="16" spans="2:11" x14ac:dyDescent="0.25">
      <c r="B16" t="s">
        <v>33</v>
      </c>
      <c r="C16" t="s">
        <v>427</v>
      </c>
      <c r="D16">
        <v>18</v>
      </c>
      <c r="F16" t="s">
        <v>33</v>
      </c>
      <c r="G16" t="s">
        <v>450</v>
      </c>
      <c r="H16">
        <v>18</v>
      </c>
      <c r="J16" t="str">
        <v>Julie Smith</v>
      </c>
      <c r="K16" s="2">
        <v>51</v>
      </c>
    </row>
    <row r="17" spans="2:14" x14ac:dyDescent="0.25">
      <c r="B17" t="s">
        <v>41</v>
      </c>
      <c r="C17" t="s">
        <v>428</v>
      </c>
      <c r="D17">
        <v>18</v>
      </c>
      <c r="F17" t="s">
        <v>122</v>
      </c>
      <c r="G17" t="s">
        <v>451</v>
      </c>
      <c r="H17">
        <v>18</v>
      </c>
      <c r="J17" t="str">
        <v>Kevin Richardson</v>
      </c>
      <c r="K17" s="2">
        <v>47</v>
      </c>
    </row>
    <row r="18" spans="2:14" x14ac:dyDescent="0.25">
      <c r="B18" t="s">
        <v>48</v>
      </c>
      <c r="C18" t="s">
        <v>430</v>
      </c>
      <c r="D18">
        <v>18</v>
      </c>
      <c r="F18" t="s">
        <v>36</v>
      </c>
      <c r="G18" t="s">
        <v>458</v>
      </c>
      <c r="H18">
        <v>18</v>
      </c>
      <c r="J18" t="str">
        <v>Martyn Wrigg</v>
      </c>
      <c r="K18" s="2">
        <v>49</v>
      </c>
    </row>
    <row r="19" spans="2:14" x14ac:dyDescent="0.25">
      <c r="B19" t="s">
        <v>48</v>
      </c>
      <c r="C19" t="s">
        <v>421</v>
      </c>
      <c r="D19">
        <v>17</v>
      </c>
      <c r="F19" t="s">
        <v>123</v>
      </c>
      <c r="G19" t="s">
        <v>459</v>
      </c>
      <c r="H19">
        <v>18</v>
      </c>
      <c r="J19" t="str">
        <v>Paula Major</v>
      </c>
      <c r="K19" s="2">
        <v>48</v>
      </c>
    </row>
    <row r="20" spans="2:14" x14ac:dyDescent="0.25">
      <c r="B20" t="s">
        <v>44</v>
      </c>
      <c r="C20" t="s">
        <v>424</v>
      </c>
      <c r="D20">
        <v>17</v>
      </c>
      <c r="F20" t="s">
        <v>122</v>
      </c>
      <c r="G20" t="s">
        <v>461</v>
      </c>
      <c r="H20">
        <v>18</v>
      </c>
      <c r="J20" t="str">
        <v>Steve Blades</v>
      </c>
      <c r="K20" s="2">
        <v>49</v>
      </c>
    </row>
    <row r="21" spans="2:14" x14ac:dyDescent="0.25">
      <c r="B21" t="s">
        <v>122</v>
      </c>
      <c r="C21" t="s">
        <v>429</v>
      </c>
      <c r="D21">
        <v>17</v>
      </c>
      <c r="F21" t="s">
        <v>33</v>
      </c>
      <c r="G21" t="s">
        <v>469</v>
      </c>
      <c r="H21">
        <v>18</v>
      </c>
      <c r="J21">
        <v>0</v>
      </c>
      <c r="K21" s="2">
        <v>0</v>
      </c>
      <c r="M21" s="11" t="s">
        <v>10</v>
      </c>
      <c r="N21" s="6" t="s">
        <v>8</v>
      </c>
    </row>
    <row r="22" spans="2:14" x14ac:dyDescent="0.25">
      <c r="B22" t="s">
        <v>123</v>
      </c>
      <c r="C22" t="s">
        <v>431</v>
      </c>
      <c r="D22">
        <v>17</v>
      </c>
      <c r="F22" t="s">
        <v>44</v>
      </c>
      <c r="G22" t="s">
        <v>447</v>
      </c>
      <c r="H22">
        <v>17</v>
      </c>
      <c r="M22" t="s">
        <v>33</v>
      </c>
      <c r="N22">
        <v>108</v>
      </c>
    </row>
    <row r="23" spans="2:14" x14ac:dyDescent="0.25">
      <c r="B23" t="s">
        <v>40</v>
      </c>
      <c r="C23" t="s">
        <v>441</v>
      </c>
      <c r="D23">
        <v>17</v>
      </c>
      <c r="F23" t="s">
        <v>33</v>
      </c>
      <c r="G23" t="s">
        <v>460</v>
      </c>
      <c r="H23">
        <v>17</v>
      </c>
      <c r="M23" t="s">
        <v>415</v>
      </c>
      <c r="N23">
        <v>100</v>
      </c>
    </row>
    <row r="24" spans="2:14" x14ac:dyDescent="0.25">
      <c r="B24" t="s">
        <v>123</v>
      </c>
      <c r="C24" t="s">
        <v>422</v>
      </c>
      <c r="D24">
        <v>16</v>
      </c>
      <c r="F24" t="s">
        <v>415</v>
      </c>
      <c r="G24" t="s">
        <v>426</v>
      </c>
      <c r="H24">
        <v>17</v>
      </c>
      <c r="M24" t="s">
        <v>48</v>
      </c>
      <c r="N24">
        <v>97</v>
      </c>
    </row>
    <row r="25" spans="2:14" x14ac:dyDescent="0.25">
      <c r="B25" t="s">
        <v>40</v>
      </c>
      <c r="C25" t="s">
        <v>423</v>
      </c>
      <c r="D25">
        <v>16</v>
      </c>
      <c r="F25" t="s">
        <v>41</v>
      </c>
      <c r="G25" t="s">
        <v>464</v>
      </c>
      <c r="H25">
        <v>17</v>
      </c>
      <c r="M25" t="s">
        <v>36</v>
      </c>
      <c r="N25">
        <v>99</v>
      </c>
    </row>
    <row r="26" spans="2:14" x14ac:dyDescent="0.25">
      <c r="B26" t="s">
        <v>415</v>
      </c>
      <c r="C26" t="s">
        <v>426</v>
      </c>
      <c r="D26">
        <v>16</v>
      </c>
      <c r="F26" t="s">
        <v>48</v>
      </c>
      <c r="G26" t="s">
        <v>465</v>
      </c>
      <c r="H26">
        <v>17</v>
      </c>
      <c r="M26" t="s">
        <v>122</v>
      </c>
      <c r="N26">
        <v>104</v>
      </c>
    </row>
    <row r="27" spans="2:14" x14ac:dyDescent="0.25">
      <c r="B27" t="s">
        <v>40</v>
      </c>
      <c r="C27" t="s">
        <v>432</v>
      </c>
      <c r="D27">
        <v>16</v>
      </c>
      <c r="F27" t="s">
        <v>44</v>
      </c>
      <c r="G27" t="s">
        <v>466</v>
      </c>
      <c r="H27">
        <v>17</v>
      </c>
      <c r="M27" t="s">
        <v>123</v>
      </c>
      <c r="N27">
        <v>102</v>
      </c>
    </row>
    <row r="28" spans="2:14" x14ac:dyDescent="0.25">
      <c r="B28" t="s">
        <v>44</v>
      </c>
      <c r="C28" t="s">
        <v>433</v>
      </c>
      <c r="D28">
        <v>16</v>
      </c>
      <c r="F28" t="s">
        <v>122</v>
      </c>
      <c r="G28" t="s">
        <v>470</v>
      </c>
      <c r="H28">
        <v>17</v>
      </c>
      <c r="M28" t="s">
        <v>40</v>
      </c>
      <c r="N28">
        <v>94</v>
      </c>
    </row>
    <row r="29" spans="2:14" x14ac:dyDescent="0.25">
      <c r="B29" t="s">
        <v>415</v>
      </c>
      <c r="C29" t="s">
        <v>435</v>
      </c>
      <c r="D29">
        <v>16</v>
      </c>
      <c r="F29" t="s">
        <v>415</v>
      </c>
      <c r="G29" t="s">
        <v>443</v>
      </c>
      <c r="H29">
        <v>16</v>
      </c>
      <c r="M29" t="s">
        <v>41</v>
      </c>
      <c r="N29">
        <v>99</v>
      </c>
    </row>
    <row r="30" spans="2:14" x14ac:dyDescent="0.25">
      <c r="B30" t="s">
        <v>41</v>
      </c>
      <c r="C30" t="s">
        <v>437</v>
      </c>
      <c r="D30">
        <v>16</v>
      </c>
      <c r="F30" t="s">
        <v>48</v>
      </c>
      <c r="G30" t="s">
        <v>446</v>
      </c>
      <c r="H30">
        <v>16</v>
      </c>
      <c r="M30" t="s">
        <v>43</v>
      </c>
      <c r="N30">
        <v>45</v>
      </c>
    </row>
    <row r="31" spans="2:14" x14ac:dyDescent="0.25">
      <c r="B31" t="s">
        <v>44</v>
      </c>
      <c r="C31" t="s">
        <v>442</v>
      </c>
      <c r="D31">
        <v>16</v>
      </c>
      <c r="F31" t="s">
        <v>40</v>
      </c>
      <c r="G31" t="s">
        <v>463</v>
      </c>
      <c r="H31">
        <v>16</v>
      </c>
      <c r="M31" t="s">
        <v>44</v>
      </c>
      <c r="N31">
        <v>98</v>
      </c>
    </row>
    <row r="32" spans="2:14" x14ac:dyDescent="0.25">
      <c r="B32" t="s">
        <v>415</v>
      </c>
      <c r="C32" t="s">
        <v>417</v>
      </c>
      <c r="D32">
        <v>15</v>
      </c>
      <c r="F32" t="s">
        <v>36</v>
      </c>
      <c r="G32" t="s">
        <v>467</v>
      </c>
      <c r="H32">
        <v>16</v>
      </c>
      <c r="J32" s="7" t="s">
        <v>11</v>
      </c>
      <c r="K32" s="8" t="s">
        <v>9</v>
      </c>
    </row>
    <row r="33" spans="2:11" x14ac:dyDescent="0.25">
      <c r="B33" t="s">
        <v>36</v>
      </c>
      <c r="C33" t="s">
        <v>425</v>
      </c>
      <c r="D33">
        <v>15</v>
      </c>
      <c r="F33" t="s">
        <v>43</v>
      </c>
      <c r="G33" t="s">
        <v>471</v>
      </c>
      <c r="H33">
        <v>16</v>
      </c>
      <c r="J33" t="str" cm="1">
        <f t="array" ref="J33:J42">_xlfn._xlws.SORT(_xlfn.UNIQUE(Digital_Table1157[Author]))</f>
        <v>Brian Steeper</v>
      </c>
      <c r="K33" s="2" cm="1">
        <f t="array" ref="K33:K42">SUMIF(Digital_Table1157[Author],_xlfn.ANCHORARRAY(J33),Digital_Table1157[Score])</f>
        <v>53</v>
      </c>
    </row>
    <row r="34" spans="2:11" x14ac:dyDescent="0.25">
      <c r="B34" t="s">
        <v>36</v>
      </c>
      <c r="C34" t="s">
        <v>434</v>
      </c>
      <c r="D34">
        <v>15</v>
      </c>
      <c r="F34" t="s">
        <v>41</v>
      </c>
      <c r="G34" t="s">
        <v>445</v>
      </c>
      <c r="H34">
        <v>15</v>
      </c>
      <c r="J34" t="str">
        <v>Chri Donne</v>
      </c>
      <c r="K34" s="2">
        <v>53</v>
      </c>
    </row>
    <row r="35" spans="2:11" x14ac:dyDescent="0.25">
      <c r="B35" t="s">
        <v>122</v>
      </c>
      <c r="C35" t="s">
        <v>438</v>
      </c>
      <c r="D35">
        <v>15</v>
      </c>
      <c r="F35" t="s">
        <v>36</v>
      </c>
      <c r="G35" t="s">
        <v>448</v>
      </c>
      <c r="H35">
        <v>15</v>
      </c>
      <c r="J35" t="str">
        <v>Dave Smith</v>
      </c>
      <c r="K35" s="2">
        <v>48</v>
      </c>
    </row>
    <row r="36" spans="2:11" x14ac:dyDescent="0.25">
      <c r="B36" t="s">
        <v>41</v>
      </c>
      <c r="C36" t="s">
        <v>419</v>
      </c>
      <c r="D36">
        <v>14</v>
      </c>
      <c r="F36" t="s">
        <v>40</v>
      </c>
      <c r="G36" t="s">
        <v>454</v>
      </c>
      <c r="H36">
        <v>15</v>
      </c>
      <c r="J36" t="str">
        <v>Gail Wrigg</v>
      </c>
      <c r="K36" s="2">
        <v>49</v>
      </c>
    </row>
    <row r="37" spans="2:11" x14ac:dyDescent="0.25">
      <c r="B37" t="s">
        <v>48</v>
      </c>
      <c r="C37" t="s">
        <v>439</v>
      </c>
      <c r="D37">
        <v>14</v>
      </c>
      <c r="F37" t="s">
        <v>48</v>
      </c>
      <c r="G37" t="s">
        <v>456</v>
      </c>
      <c r="H37">
        <v>15</v>
      </c>
      <c r="J37" t="str">
        <v>Julie Smith</v>
      </c>
      <c r="K37" s="2">
        <v>53</v>
      </c>
    </row>
    <row r="38" spans="2:11" x14ac:dyDescent="0.25">
      <c r="B38" t="s">
        <v>123</v>
      </c>
      <c r="C38" t="s">
        <v>440</v>
      </c>
      <c r="D38">
        <v>14</v>
      </c>
      <c r="F38" t="s">
        <v>44</v>
      </c>
      <c r="G38" t="s">
        <v>457</v>
      </c>
      <c r="H38">
        <v>15</v>
      </c>
      <c r="J38" t="str">
        <v>Kevin Richardson</v>
      </c>
      <c r="K38" s="2">
        <v>55</v>
      </c>
    </row>
    <row r="39" spans="2:11" x14ac:dyDescent="0.25">
      <c r="F39" t="s">
        <v>43</v>
      </c>
      <c r="G39" t="s">
        <v>462</v>
      </c>
      <c r="H39">
        <v>15</v>
      </c>
      <c r="J39" t="str">
        <v>Martyn Wrigg</v>
      </c>
      <c r="K39" s="2">
        <v>45</v>
      </c>
    </row>
    <row r="40" spans="2:11" x14ac:dyDescent="0.25">
      <c r="F40" t="s">
        <v>40</v>
      </c>
      <c r="G40" t="s">
        <v>444</v>
      </c>
      <c r="H40">
        <v>14</v>
      </c>
      <c r="J40" t="str">
        <v>Paula Major</v>
      </c>
      <c r="K40" s="2">
        <v>51</v>
      </c>
    </row>
    <row r="41" spans="2:11" x14ac:dyDescent="0.25">
      <c r="F41" t="s">
        <v>43</v>
      </c>
      <c r="G41" t="s">
        <v>452</v>
      </c>
      <c r="H41">
        <v>14</v>
      </c>
      <c r="J41" t="str">
        <v>Robert Musgrove</v>
      </c>
      <c r="K41" s="2">
        <v>45</v>
      </c>
    </row>
    <row r="42" spans="2:11" x14ac:dyDescent="0.25">
      <c r="J42" t="str">
        <v>Steve Blades</v>
      </c>
      <c r="K42" s="2">
        <v>49</v>
      </c>
    </row>
  </sheetData>
  <dataConsolidate leftLabels="1" topLabels="1">
    <dataRefs count="2">
      <dataRef ref="J11:K20" sheet="August"/>
      <dataRef ref="J32:K42" sheet="August"/>
    </dataRefs>
  </dataConsolidate>
  <mergeCells count="6">
    <mergeCell ref="B10:D10"/>
    <mergeCell ref="F10:H10"/>
    <mergeCell ref="E2:F2"/>
    <mergeCell ref="E3:F3"/>
    <mergeCell ref="E4:F4"/>
    <mergeCell ref="E5:F5"/>
  </mergeCells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FCC7-A384-4C43-8ECE-A4A53E46C44B}">
  <dimension ref="B2:N33"/>
  <sheetViews>
    <sheetView workbookViewId="0">
      <selection activeCell="C4" sqref="C4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4.7109375" bestFit="1" customWidth="1"/>
    <col min="7" max="7" width="32.7109375" bestFit="1" customWidth="1"/>
    <col min="8" max="8" width="11.28515625" customWidth="1"/>
    <col min="10" max="10" width="17" bestFit="1" customWidth="1"/>
    <col min="11" max="11" width="9.140625" style="2"/>
    <col min="13" max="13" width="18.28515625" customWidth="1"/>
    <col min="14" max="14" width="9.140625" customWidth="1"/>
  </cols>
  <sheetData>
    <row r="2" spans="2:11" x14ac:dyDescent="0.25">
      <c r="B2" t="s">
        <v>0</v>
      </c>
      <c r="C2" s="9" t="s">
        <v>70</v>
      </c>
      <c r="E2" s="46"/>
      <c r="F2" s="46"/>
    </row>
    <row r="3" spans="2:11" x14ac:dyDescent="0.25">
      <c r="B3" s="1" t="s">
        <v>1</v>
      </c>
      <c r="C3" s="9" t="s">
        <v>75</v>
      </c>
      <c r="E3" s="46"/>
      <c r="F3" s="46"/>
    </row>
    <row r="4" spans="2:11" x14ac:dyDescent="0.25">
      <c r="B4" t="s">
        <v>2</v>
      </c>
      <c r="C4" s="10">
        <v>46295</v>
      </c>
      <c r="E4" s="46"/>
      <c r="F4" s="46"/>
    </row>
    <row r="5" spans="2:11" x14ac:dyDescent="0.25">
      <c r="B5" t="s">
        <v>3</v>
      </c>
      <c r="C5" s="9"/>
      <c r="E5" s="46"/>
      <c r="F5" s="46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J12" cm="1">
        <f t="array" ref="J12">_xlfn._xlws.SORT(_xlfn.UNIQUE(Print_Table94[Author]))</f>
        <v>0</v>
      </c>
      <c r="K12" s="2" cm="1">
        <f t="array" ref="K12">SUMIF(Print_Table94[Author],_xlfn.ANCHORARRAY(J12),Print_Table94[Score])</f>
        <v>0</v>
      </c>
    </row>
    <row r="20" spans="10:14" x14ac:dyDescent="0.25">
      <c r="M20" s="11" t="s">
        <v>10</v>
      </c>
      <c r="N20" s="6" t="s">
        <v>8</v>
      </c>
    </row>
    <row r="32" spans="10:14" x14ac:dyDescent="0.25">
      <c r="J32" s="7" t="s">
        <v>11</v>
      </c>
      <c r="K32" s="8" t="s">
        <v>9</v>
      </c>
    </row>
    <row r="33" spans="10:11" x14ac:dyDescent="0.25">
      <c r="J33" cm="1">
        <f t="array" ref="J33">_xlfn._xlws.SORT(_xlfn.UNIQUE(Digital_Table115[Author]))</f>
        <v>0</v>
      </c>
      <c r="K33" s="2" cm="1">
        <f t="array" ref="K33">SUMIF(Digital_Table115[Author],_xlfn.ANCHORARRAY(J33),Digital_Table115[Score])</f>
        <v>0</v>
      </c>
    </row>
  </sheetData>
  <dataConsolidate topLabels="1">
    <dataRefs count="2">
      <dataRef ref="B11:D40" sheet="Sheet2" r:id="rId1"/>
      <dataRef ref="F11:H25" sheet="Sheet2" r:id="rId2"/>
    </dataRefs>
  </dataConsolidate>
  <mergeCells count="6">
    <mergeCell ref="B10:D10"/>
    <mergeCell ref="F10:H10"/>
    <mergeCell ref="E2:F2"/>
    <mergeCell ref="E3:F3"/>
    <mergeCell ref="E4:F4"/>
    <mergeCell ref="E5:F5"/>
  </mergeCells>
  <pageMargins left="0.7" right="0.7" top="0.75" bottom="0.75" header="0.3" footer="0.3"/>
  <tableParts count="2"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D166-2F25-49AB-BF55-1268F84469D7}">
  <dimension ref="B2:N33"/>
  <sheetViews>
    <sheetView workbookViewId="0">
      <selection activeCell="G5" sqref="G5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4.7109375" bestFit="1" customWidth="1"/>
    <col min="7" max="7" width="32.7109375" bestFit="1" customWidth="1"/>
    <col min="8" max="8" width="11.28515625" customWidth="1"/>
    <col min="10" max="10" width="17" bestFit="1" customWidth="1"/>
    <col min="11" max="11" width="9.140625" style="2"/>
    <col min="13" max="13" width="18.5703125" customWidth="1"/>
  </cols>
  <sheetData>
    <row r="2" spans="2:11" x14ac:dyDescent="0.25">
      <c r="B2" t="s">
        <v>0</v>
      </c>
      <c r="C2" s="9" t="s">
        <v>71</v>
      </c>
      <c r="E2" s="46"/>
      <c r="F2" s="46"/>
    </row>
    <row r="3" spans="2:11" x14ac:dyDescent="0.25">
      <c r="B3" s="1" t="s">
        <v>1</v>
      </c>
      <c r="C3" s="9" t="s">
        <v>73</v>
      </c>
      <c r="E3" s="46"/>
      <c r="F3" s="46"/>
    </row>
    <row r="4" spans="2:11" x14ac:dyDescent="0.25">
      <c r="B4" t="s">
        <v>2</v>
      </c>
      <c r="C4" s="10">
        <v>46323</v>
      </c>
      <c r="E4" s="46"/>
      <c r="F4" s="46"/>
    </row>
    <row r="5" spans="2:11" x14ac:dyDescent="0.25">
      <c r="B5" t="s">
        <v>3</v>
      </c>
      <c r="C5" s="9" t="s">
        <v>74</v>
      </c>
      <c r="E5" s="46"/>
      <c r="F5" s="46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J12" cm="1">
        <f t="array" ref="J12">_xlfn._xlws.SORT(_xlfn.UNIQUE(Print_Table9426[Author]))</f>
        <v>0</v>
      </c>
      <c r="K12" s="2" cm="1">
        <f t="array" ref="K12">SUMIF(Print_Table9426[Author],_xlfn.ANCHORARRAY(J12),Print_Table9426[Score])</f>
        <v>0</v>
      </c>
    </row>
    <row r="20" spans="10:14" x14ac:dyDescent="0.25">
      <c r="M20" s="11" t="s">
        <v>10</v>
      </c>
      <c r="N20" s="6" t="s">
        <v>8</v>
      </c>
    </row>
    <row r="32" spans="10:14" x14ac:dyDescent="0.25">
      <c r="J32" s="7" t="s">
        <v>11</v>
      </c>
      <c r="K32" s="8" t="s">
        <v>9</v>
      </c>
    </row>
    <row r="33" spans="10:11" x14ac:dyDescent="0.25">
      <c r="J33" cm="1">
        <f t="array" ref="J33">_xlfn._xlws.SORT(_xlfn.UNIQUE(Digital_Table11527[Author]))</f>
        <v>0</v>
      </c>
      <c r="K33" s="2" cm="1">
        <f t="array" ref="K33">SUMIF(Digital_Table11527[Author],_xlfn.ANCHORARRAY(J33),Digital_Table11527[Score])</f>
        <v>0</v>
      </c>
    </row>
  </sheetData>
  <dataConsolidate/>
  <mergeCells count="6">
    <mergeCell ref="B10:D10"/>
    <mergeCell ref="F10:H10"/>
    <mergeCell ref="E2:F2"/>
    <mergeCell ref="E3:F3"/>
    <mergeCell ref="E4:F4"/>
    <mergeCell ref="E5:F5"/>
  </mergeCells>
  <pageMargins left="0.7" right="0.7" top="0.75" bottom="0.75" header="0.3" footer="0.3"/>
  <tableParts count="2">
    <tablePart r:id="rId1"/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60F0C-9AB3-4DC9-A8BF-8C721EF7E3D9}">
  <dimension ref="B1:O33"/>
  <sheetViews>
    <sheetView workbookViewId="0">
      <selection activeCell="C6" sqref="C6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4.7109375" bestFit="1" customWidth="1"/>
    <col min="7" max="7" width="32.7109375" bestFit="1" customWidth="1"/>
    <col min="8" max="8" width="11.28515625" customWidth="1"/>
    <col min="10" max="10" width="17" customWidth="1"/>
    <col min="11" max="11" width="9.140625" style="2"/>
    <col min="14" max="14" width="9.140625" customWidth="1"/>
  </cols>
  <sheetData>
    <row r="1" spans="2:14" x14ac:dyDescent="0.25">
      <c r="M1" s="69"/>
      <c r="N1" s="69"/>
    </row>
    <row r="2" spans="2:14" x14ac:dyDescent="0.25">
      <c r="B2" t="s">
        <v>0</v>
      </c>
      <c r="C2" s="9" t="s">
        <v>15</v>
      </c>
      <c r="E2" s="46"/>
      <c r="F2" s="46"/>
      <c r="M2" s="69"/>
      <c r="N2" s="69"/>
    </row>
    <row r="3" spans="2:14" x14ac:dyDescent="0.25">
      <c r="B3" s="1" t="s">
        <v>1</v>
      </c>
      <c r="C3" s="9" t="s">
        <v>72</v>
      </c>
      <c r="E3" s="46"/>
      <c r="F3" s="46"/>
      <c r="M3" s="69"/>
      <c r="N3" s="69"/>
    </row>
    <row r="4" spans="2:14" x14ac:dyDescent="0.25">
      <c r="B4" t="s">
        <v>2</v>
      </c>
      <c r="C4" s="10">
        <v>46351</v>
      </c>
      <c r="E4" s="46"/>
      <c r="F4" s="46"/>
      <c r="M4" s="69"/>
      <c r="N4" s="69"/>
    </row>
    <row r="5" spans="2:14" x14ac:dyDescent="0.25">
      <c r="B5" t="s">
        <v>3</v>
      </c>
      <c r="C5" s="9" t="s">
        <v>59</v>
      </c>
      <c r="E5" s="46"/>
      <c r="F5" s="46"/>
      <c r="M5" s="69"/>
      <c r="N5" s="69"/>
    </row>
    <row r="6" spans="2:14" x14ac:dyDescent="0.25">
      <c r="C6" s="9"/>
      <c r="E6" s="1"/>
      <c r="F6" s="1"/>
      <c r="M6" s="69"/>
      <c r="N6" s="69"/>
    </row>
    <row r="7" spans="2:14" x14ac:dyDescent="0.25">
      <c r="E7" s="1"/>
      <c r="F7" s="1"/>
      <c r="M7" s="69"/>
      <c r="N7" s="69"/>
    </row>
    <row r="8" spans="2:14" x14ac:dyDescent="0.25">
      <c r="E8" s="1"/>
      <c r="F8" s="1"/>
      <c r="M8" s="69"/>
      <c r="N8" s="69"/>
    </row>
    <row r="9" spans="2:14" x14ac:dyDescent="0.25">
      <c r="E9" s="1"/>
      <c r="F9" s="1"/>
      <c r="M9" s="69"/>
      <c r="N9" s="69"/>
    </row>
    <row r="10" spans="2:14" ht="36.75" x14ac:dyDescent="0.6">
      <c r="B10" s="45" t="s">
        <v>4</v>
      </c>
      <c r="C10" s="45"/>
      <c r="D10" s="45"/>
      <c r="F10" s="45" t="s">
        <v>5</v>
      </c>
      <c r="G10" s="45"/>
      <c r="H10" s="45"/>
      <c r="M10" s="69"/>
      <c r="N10" s="69"/>
    </row>
    <row r="11" spans="2:14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  <c r="M11" s="69"/>
      <c r="N11" s="69"/>
    </row>
    <row r="12" spans="2:14" x14ac:dyDescent="0.25">
      <c r="J12" cm="1">
        <f t="array" ref="J12">_xlfn._xlws.SORT(_xlfn.UNIQUE(Print_Table9[Author]))</f>
        <v>0</v>
      </c>
      <c r="K12" s="2" cm="1">
        <f t="array" ref="K12">SUMIF(Print_Table9[Author],_xlfn.ANCHORARRAY(J12),Print_Table9[Score])</f>
        <v>0</v>
      </c>
      <c r="M12" s="69"/>
      <c r="N12" s="69"/>
    </row>
    <row r="13" spans="2:14" x14ac:dyDescent="0.25">
      <c r="M13" s="69"/>
      <c r="N13" s="69"/>
    </row>
    <row r="14" spans="2:14" x14ac:dyDescent="0.25">
      <c r="M14" s="69"/>
      <c r="N14" s="69"/>
    </row>
    <row r="15" spans="2:14" x14ac:dyDescent="0.25">
      <c r="M15" s="69"/>
      <c r="N15" s="69"/>
    </row>
    <row r="16" spans="2:14" x14ac:dyDescent="0.25">
      <c r="M16" s="69"/>
      <c r="N16" s="69"/>
    </row>
    <row r="17" spans="10:15" x14ac:dyDescent="0.25">
      <c r="M17" s="69"/>
      <c r="N17" s="69"/>
    </row>
    <row r="18" spans="10:15" x14ac:dyDescent="0.25">
      <c r="M18" s="69"/>
      <c r="N18" s="69"/>
    </row>
    <row r="19" spans="10:15" x14ac:dyDescent="0.25">
      <c r="M19" s="69"/>
      <c r="N19" s="69"/>
    </row>
    <row r="20" spans="10:15" x14ac:dyDescent="0.25">
      <c r="M20" s="68" t="s">
        <v>10</v>
      </c>
      <c r="N20" s="68"/>
      <c r="O20" s="6" t="s">
        <v>8</v>
      </c>
    </row>
    <row r="21" spans="10:15" x14ac:dyDescent="0.25">
      <c r="M21" s="69"/>
      <c r="N21" s="69"/>
    </row>
    <row r="22" spans="10:15" x14ac:dyDescent="0.25">
      <c r="M22" s="69"/>
      <c r="N22" s="69"/>
    </row>
    <row r="23" spans="10:15" x14ac:dyDescent="0.25">
      <c r="M23" s="69"/>
      <c r="N23" s="69"/>
    </row>
    <row r="24" spans="10:15" x14ac:dyDescent="0.25">
      <c r="M24" s="69"/>
      <c r="N24" s="69"/>
    </row>
    <row r="25" spans="10:15" x14ac:dyDescent="0.25">
      <c r="M25" s="69"/>
      <c r="N25" s="69"/>
    </row>
    <row r="26" spans="10:15" x14ac:dyDescent="0.25">
      <c r="M26" s="69"/>
      <c r="N26" s="69"/>
    </row>
    <row r="27" spans="10:15" x14ac:dyDescent="0.25">
      <c r="M27" s="69"/>
      <c r="N27" s="69"/>
    </row>
    <row r="28" spans="10:15" x14ac:dyDescent="0.25">
      <c r="M28" s="69"/>
      <c r="N28" s="69"/>
    </row>
    <row r="29" spans="10:15" x14ac:dyDescent="0.25">
      <c r="M29" s="69"/>
      <c r="N29" s="69"/>
    </row>
    <row r="30" spans="10:15" x14ac:dyDescent="0.25">
      <c r="M30" s="69"/>
      <c r="N30" s="69"/>
    </row>
    <row r="31" spans="10:15" x14ac:dyDescent="0.25">
      <c r="M31" s="69"/>
      <c r="N31" s="69"/>
    </row>
    <row r="32" spans="10:15" x14ac:dyDescent="0.25">
      <c r="J32" s="7" t="s">
        <v>11</v>
      </c>
      <c r="K32" s="8" t="s">
        <v>9</v>
      </c>
      <c r="M32" s="69"/>
      <c r="N32" s="69"/>
    </row>
    <row r="33" spans="10:14" x14ac:dyDescent="0.25">
      <c r="J33" cm="1">
        <f t="array" ref="J33">_xlfn._xlws.SORT(_xlfn.UNIQUE(Digital_Table11[Author]))</f>
        <v>0</v>
      </c>
      <c r="K33" s="2" cm="1">
        <f t="array" ref="K33">SUMIF(Digital_Table11[Author],_xlfn.ANCHORARRAY(J33),Digital_Table11[Score])</f>
        <v>0</v>
      </c>
      <c r="M33" s="69"/>
      <c r="N33" s="69"/>
    </row>
  </sheetData>
  <dataConsolidate>
    <dataRefs count="2">
      <dataRef ref="J12:K19" sheet="November"/>
      <dataRef ref="J33:K40" sheet="November"/>
    </dataRefs>
  </dataConsolidate>
  <mergeCells count="39">
    <mergeCell ref="M31:N31"/>
    <mergeCell ref="M32:N32"/>
    <mergeCell ref="M33:N33"/>
    <mergeCell ref="M26:N26"/>
    <mergeCell ref="M27:N27"/>
    <mergeCell ref="M28:N28"/>
    <mergeCell ref="M29:N29"/>
    <mergeCell ref="M30:N30"/>
    <mergeCell ref="M21:N21"/>
    <mergeCell ref="M22:N22"/>
    <mergeCell ref="M23:N23"/>
    <mergeCell ref="M24:N24"/>
    <mergeCell ref="M25:N25"/>
    <mergeCell ref="M15:N15"/>
    <mergeCell ref="M16:N16"/>
    <mergeCell ref="M17:N17"/>
    <mergeCell ref="M18:N18"/>
    <mergeCell ref="M19:N19"/>
    <mergeCell ref="M1:N1"/>
    <mergeCell ref="M2:N2"/>
    <mergeCell ref="M3:N3"/>
    <mergeCell ref="M4:N4"/>
    <mergeCell ref="M5:N5"/>
    <mergeCell ref="B10:D10"/>
    <mergeCell ref="F10:H10"/>
    <mergeCell ref="M20:N20"/>
    <mergeCell ref="E2:F2"/>
    <mergeCell ref="E3:F3"/>
    <mergeCell ref="E4:F4"/>
    <mergeCell ref="E5:F5"/>
    <mergeCell ref="M6:N6"/>
    <mergeCell ref="M7:N7"/>
    <mergeCell ref="M8:N8"/>
    <mergeCell ref="M9:N9"/>
    <mergeCell ref="M10:N10"/>
    <mergeCell ref="M11:N11"/>
    <mergeCell ref="M12:N12"/>
    <mergeCell ref="M13:N13"/>
    <mergeCell ref="M14:N14"/>
  </mergeCells>
  <pageMargins left="0.7" right="0.7" top="0.75" bottom="0.75" header="0.3" footer="0.3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2327-0917-4A6D-9152-D10777B6AC09}">
  <dimension ref="B2:N33"/>
  <sheetViews>
    <sheetView topLeftCell="A8" workbookViewId="0">
      <selection activeCell="N8" sqref="N1:N1048576"/>
    </sheetView>
  </sheetViews>
  <sheetFormatPr defaultRowHeight="15" x14ac:dyDescent="0.25"/>
  <cols>
    <col min="2" max="2" width="18.85546875" bestFit="1" customWidth="1"/>
    <col min="3" max="3" width="26" customWidth="1"/>
    <col min="4" max="4" width="11.28515625" customWidth="1"/>
    <col min="6" max="6" width="14.7109375" bestFit="1" customWidth="1"/>
    <col min="7" max="7" width="32.7109375" bestFit="1" customWidth="1"/>
    <col min="8" max="8" width="11.28515625" customWidth="1"/>
    <col min="10" max="10" width="17" bestFit="1" customWidth="1"/>
    <col min="11" max="11" width="9.140625" style="2"/>
    <col min="13" max="13" width="18.7109375" customWidth="1"/>
  </cols>
  <sheetData>
    <row r="2" spans="2:11" x14ac:dyDescent="0.25">
      <c r="B2" t="s">
        <v>0</v>
      </c>
      <c r="C2" s="9" t="s">
        <v>13</v>
      </c>
      <c r="E2" s="46"/>
      <c r="F2" s="46"/>
    </row>
    <row r="3" spans="2:11" x14ac:dyDescent="0.25">
      <c r="B3" s="1" t="s">
        <v>1</v>
      </c>
      <c r="C3" s="9" t="s">
        <v>12</v>
      </c>
      <c r="E3" s="46"/>
      <c r="F3" s="46"/>
    </row>
    <row r="4" spans="2:11" x14ac:dyDescent="0.25">
      <c r="B4" t="s">
        <v>2</v>
      </c>
      <c r="C4" s="10">
        <v>45686</v>
      </c>
      <c r="E4" s="46"/>
      <c r="F4" s="46"/>
    </row>
    <row r="5" spans="2:11" x14ac:dyDescent="0.25">
      <c r="B5" t="s">
        <v>3</v>
      </c>
      <c r="C5" s="9" t="s">
        <v>14</v>
      </c>
      <c r="E5" s="46"/>
      <c r="F5" s="46"/>
    </row>
    <row r="6" spans="2:11" x14ac:dyDescent="0.25">
      <c r="E6" s="1"/>
      <c r="F6" s="1"/>
    </row>
    <row r="7" spans="2:11" x14ac:dyDescent="0.25">
      <c r="E7" s="1"/>
      <c r="F7" s="1"/>
    </row>
    <row r="8" spans="2:11" x14ac:dyDescent="0.25">
      <c r="E8" s="1"/>
      <c r="F8" s="1"/>
    </row>
    <row r="9" spans="2:11" x14ac:dyDescent="0.25">
      <c r="E9" s="1"/>
      <c r="F9" s="1"/>
    </row>
    <row r="10" spans="2:11" ht="36.75" x14ac:dyDescent="0.6">
      <c r="B10" s="45" t="s">
        <v>4</v>
      </c>
      <c r="C10" s="45"/>
      <c r="D10" s="45"/>
      <c r="F10" s="45" t="s">
        <v>5</v>
      </c>
      <c r="G10" s="45"/>
      <c r="H10" s="45"/>
    </row>
    <row r="11" spans="2:11" x14ac:dyDescent="0.25">
      <c r="B11" s="3" t="s">
        <v>6</v>
      </c>
      <c r="C11" s="3" t="s">
        <v>7</v>
      </c>
      <c r="D11" s="3" t="s">
        <v>8</v>
      </c>
      <c r="F11" s="4" t="s">
        <v>6</v>
      </c>
      <c r="G11" s="4" t="s">
        <v>7</v>
      </c>
      <c r="H11" s="4" t="s">
        <v>8</v>
      </c>
      <c r="J11" s="5" t="s">
        <v>4</v>
      </c>
      <c r="K11" s="5" t="s">
        <v>9</v>
      </c>
    </row>
    <row r="12" spans="2:11" x14ac:dyDescent="0.25">
      <c r="J12" cm="1">
        <f t="array" ref="J12">_xlfn._xlws.SORT(_xlfn.UNIQUE(Print_Table946812141618202224[Author]))</f>
        <v>0</v>
      </c>
      <c r="K12" s="2" cm="1">
        <f t="array" ref="K12">SUMIF(Print_Table946812141618202224[Author],_xlfn.ANCHORARRAY(J12),Print_Table946812141618202224[Score])</f>
        <v>0</v>
      </c>
    </row>
    <row r="20" spans="10:14" x14ac:dyDescent="0.25">
      <c r="M20" s="11" t="s">
        <v>10</v>
      </c>
      <c r="N20" s="6" t="s">
        <v>8</v>
      </c>
    </row>
    <row r="32" spans="10:14" x14ac:dyDescent="0.25">
      <c r="J32" s="7" t="s">
        <v>11</v>
      </c>
      <c r="K32" s="8" t="s">
        <v>9</v>
      </c>
    </row>
    <row r="33" spans="10:11" x14ac:dyDescent="0.25">
      <c r="J33" cm="1">
        <f t="array" ref="J33">_xlfn._xlws.SORT(_xlfn.UNIQUE(Digital_Table1157913151719212325[Author]))</f>
        <v>0</v>
      </c>
      <c r="K33" s="2" cm="1">
        <f t="array" ref="K33">SUMIF(Digital_Table1157913151719212325[Author],_xlfn.ANCHORARRAY(J33),Digital_Table1157913151719212325[Score])</f>
        <v>0</v>
      </c>
    </row>
  </sheetData>
  <dataConsolidate topLabels="1">
    <dataRefs count="2">
      <dataRef ref="B11:D40" sheet="Sheet2" r:id="rId1"/>
      <dataRef ref="F11:H25" sheet="Sheet2" r:id="rId2"/>
    </dataRefs>
  </dataConsolidate>
  <mergeCells count="6">
    <mergeCell ref="B10:D10"/>
    <mergeCell ref="F10:H10"/>
    <mergeCell ref="E2:F2"/>
    <mergeCell ref="E3:F3"/>
    <mergeCell ref="E4:F4"/>
    <mergeCell ref="E5:F5"/>
  </mergeCells>
  <pageMargins left="0.7" right="0.7" top="0.75" bottom="0.75" header="0.3" footer="0.3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Ranking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SheetTemplate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 Richardson</dc:creator>
  <cp:lastModifiedBy>Kevin Richardson</cp:lastModifiedBy>
  <dcterms:created xsi:type="dcterms:W3CDTF">2024-11-29T13:58:05Z</dcterms:created>
  <dcterms:modified xsi:type="dcterms:W3CDTF">2026-08-26T23:24:04Z</dcterms:modified>
</cp:coreProperties>
</file>